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codeName="ThisWorkbook" autoCompressPictures="0"/>
  <mc:AlternateContent xmlns:mc="http://schemas.openxmlformats.org/markup-compatibility/2006">
    <mc:Choice Requires="x15">
      <x15ac:absPath xmlns:x15ac="http://schemas.microsoft.com/office/spreadsheetml/2010/11/ac" url="https://abraconllc-my.sharepoint.com/personal/leonel_santillan_abracon_com/Documents/RoHS2019/CMRT Reports/"/>
    </mc:Choice>
  </mc:AlternateContent>
  <xr:revisionPtr revIDLastSave="0" documentId="8_{AD34B1BC-FFB4-43E3-A93B-13D4F77F8121}"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295" yWindow="1185" windowWidth="20505" windowHeight="1207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S6" i="5" l="1"/>
  <c r="T6" i="5"/>
  <c r="S7" i="5"/>
  <c r="T7" i="5"/>
  <c r="S8" i="5"/>
  <c r="T8" i="5"/>
  <c r="S9" i="5"/>
  <c r="T9" i="5"/>
  <c r="S10" i="5"/>
  <c r="T10" i="5"/>
  <c r="S11" i="5"/>
  <c r="T11" i="5"/>
  <c r="S12" i="5"/>
  <c r="T12" i="5"/>
  <c r="S13" i="5"/>
  <c r="T13" i="5"/>
  <c r="S14" i="5"/>
  <c r="T14" i="5"/>
  <c r="S15" i="5"/>
  <c r="T15" i="5"/>
  <c r="T16" i="5"/>
  <c r="S17" i="5"/>
  <c r="T17" i="5"/>
  <c r="S18" i="5"/>
  <c r="T18" i="5"/>
  <c r="S19" i="5"/>
  <c r="T19" i="5"/>
  <c r="S20" i="5"/>
  <c r="T20" i="5"/>
  <c r="S21" i="5"/>
  <c r="T21" i="5"/>
  <c r="S22" i="5"/>
  <c r="T22" i="5"/>
  <c r="S23" i="5"/>
  <c r="T23" i="5"/>
  <c r="S24" i="5"/>
  <c r="T24" i="5"/>
  <c r="S25" i="5"/>
  <c r="T25" i="5"/>
  <c r="S26" i="5"/>
  <c r="T26" i="5"/>
  <c r="S27" i="5"/>
  <c r="T27" i="5"/>
  <c r="S28" i="5"/>
  <c r="T28" i="5"/>
  <c r="S29" i="5"/>
  <c r="T29" i="5"/>
  <c r="S30" i="5"/>
  <c r="T30" i="5"/>
  <c r="S31" i="5"/>
  <c r="T31" i="5"/>
  <c r="S32" i="5"/>
  <c r="T32" i="5"/>
  <c r="S33" i="5"/>
  <c r="T33" i="5"/>
  <c r="S34" i="5"/>
  <c r="T34" i="5"/>
  <c r="S35" i="5"/>
  <c r="T35" i="5"/>
  <c r="S36" i="5"/>
  <c r="T36" i="5"/>
  <c r="S37" i="5"/>
  <c r="T37" i="5"/>
  <c r="T38" i="5"/>
  <c r="T39" i="5"/>
  <c r="T40" i="5"/>
  <c r="T41"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V6" i="5"/>
  <c r="V7" i="5"/>
  <c r="V8" i="5"/>
  <c r="V9" i="5"/>
  <c r="V10" i="5"/>
  <c r="V11" i="5"/>
  <c r="V12" i="5"/>
  <c r="V13" i="5"/>
  <c r="V14" i="5"/>
  <c r="V15" i="5"/>
  <c r="V16" i="5"/>
  <c r="V17" i="5"/>
  <c r="V18" i="5"/>
  <c r="V19" i="5"/>
  <c r="V20" i="5"/>
  <c r="V21" i="5"/>
  <c r="V22" i="5"/>
  <c r="V23" i="5"/>
  <c r="V24" i="5"/>
  <c r="V25" i="5"/>
  <c r="V26" i="5"/>
  <c r="V27" i="5"/>
  <c r="V28" i="5"/>
  <c r="V29" i="5"/>
  <c r="V30" i="5"/>
  <c r="V31" i="5"/>
  <c r="V32" i="5"/>
  <c r="V33" i="5"/>
  <c r="V34" i="5"/>
  <c r="V35" i="5"/>
  <c r="V36" i="5"/>
  <c r="V37" i="5"/>
  <c r="V38" i="5"/>
  <c r="V39" i="5"/>
  <c r="V40" i="5"/>
  <c r="V41" i="5"/>
  <c r="V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R37"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X23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R19" i="5"/>
  <c r="X19" i="5"/>
  <c r="X35" i="5"/>
  <c r="R35" i="5"/>
  <c r="H139" i="5"/>
  <c r="R139" i="5"/>
  <c r="J139" i="5"/>
  <c r="I139" i="5"/>
  <c r="X139" i="5"/>
  <c r="F139" i="5"/>
  <c r="X193" i="5"/>
  <c r="F193" i="5"/>
  <c r="H227" i="5"/>
  <c r="X227" i="5"/>
  <c r="R227" i="5"/>
  <c r="F227" i="5"/>
  <c r="J227" i="5"/>
  <c r="I227" i="5"/>
  <c r="R41" i="5"/>
  <c r="X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X27" i="5"/>
  <c r="R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X31" i="5"/>
  <c r="F113" i="5"/>
  <c r="X113" i="5"/>
  <c r="R113" i="5"/>
  <c r="H155" i="5"/>
  <c r="R155" i="5"/>
  <c r="J155" i="5"/>
  <c r="I155" i="5"/>
  <c r="X155" i="5"/>
  <c r="F155" i="5"/>
  <c r="H203" i="5"/>
  <c r="R203" i="5"/>
  <c r="J203" i="5"/>
  <c r="I203" i="5"/>
  <c r="X203" i="5"/>
  <c r="F203" i="5"/>
  <c r="R249" i="5"/>
  <c r="F249"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AB26" i="5"/>
  <c r="X39" i="5"/>
  <c r="I46" i="5"/>
  <c r="AB22" i="5"/>
  <c r="R25"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X49" i="5"/>
  <c r="I50" i="5"/>
  <c r="X65" i="5"/>
  <c r="I66" i="5"/>
  <c r="X81" i="5"/>
  <c r="I82"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AB32"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AB20" i="5"/>
  <c r="R21" i="5"/>
  <c r="AB28" i="5"/>
  <c r="R29" i="5"/>
  <c r="AB34" i="5"/>
  <c r="AB38"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AB21"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H114" i="5"/>
  <c r="F118" i="5"/>
  <c r="R118" i="5"/>
  <c r="J118" i="5"/>
  <c r="X5"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AB109" i="5"/>
  <c r="X117" i="5"/>
  <c r="J121" i="5"/>
  <c r="I121" i="5"/>
  <c r="H121" i="5"/>
  <c r="AB141" i="5"/>
  <c r="H146" i="5"/>
  <c r="F150" i="5"/>
  <c r="R150" i="5"/>
  <c r="J150" i="5"/>
  <c r="AB19" i="5"/>
  <c r="AB27" i="5"/>
  <c r="X29" i="5"/>
  <c r="X24" i="5"/>
  <c r="R28"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AB31" i="5"/>
  <c r="AB25" i="5"/>
  <c r="AB37"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AB33"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R23" i="5"/>
  <c r="R26" i="5"/>
  <c r="X30" i="5"/>
  <c r="R31"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4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122" i="5"/>
  <c r="S484" i="5"/>
  <c r="S79" i="5"/>
  <c r="S471" i="5"/>
  <c r="S298" i="5"/>
  <c r="S82" i="5"/>
  <c r="S78" i="5"/>
  <c r="S142" i="5"/>
  <c r="S515" i="5"/>
  <c r="S289" i="5"/>
  <c r="S46"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R10" i="5"/>
  <c r="R13" i="5"/>
  <c r="R7" i="5"/>
  <c r="R17" i="5"/>
  <c r="G66" i="6"/>
  <c r="H66" i="6"/>
  <c r="C66" i="6"/>
  <c r="G67" i="6"/>
  <c r="H67" i="6"/>
  <c r="D67" i="6"/>
  <c r="G65" i="6"/>
  <c r="H65" i="6"/>
  <c r="C65" i="6"/>
  <c r="R12" i="5"/>
  <c r="R9" i="5"/>
  <c r="R8" i="5"/>
  <c r="R15" i="5"/>
  <c r="R11" i="5"/>
  <c r="R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 r="S1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<sst xmlns="http://schemas.openxmlformats.org/spreadsheetml/2006/main" count="22652" uniqueCount="15833">
  <si>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</si>
  <si>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</si>
  <si>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</si>
  <si>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</si>
  <si>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</si>
  <si>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</si>
  <si>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</si>
  <si>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</si>
  <si>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</si>
  <si>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</si>
  <si>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</si>
  <si>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</si>
  <si>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</si>
  <si>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</si>
  <si>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</si>
  <si>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</si>
  <si>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</si>
  <si>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</si>
  <si>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</si>
  <si>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</si>
  <si>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</si>
  <si>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</si>
  <si>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</si>
  <si>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</si>
  <si>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</si>
  <si>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</si>
  <si>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</si>
  <si>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</si>
  <si>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</si>
  <si>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</si>
  <si>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</si>
  <si>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</si>
  <si>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</si>
  <si>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</si>
  <si>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</si>
  <si>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</si>
  <si>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</si>
  <si>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</si>
  <si>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</si>
  <si>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</si>
  <si>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</si>
  <si>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</si>
  <si>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</si>
  <si>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</si>
  <si>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</si>
  <si>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</si>
  <si>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</si>
  <si>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</si>
  <si>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</si>
  <si>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</si>
  <si>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</si>
  <si>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</si>
  <si>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</si>
  <si>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</si>
  <si>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</si>
  <si>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</si>
  <si>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</si>
  <si>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</si>
  <si>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</si>
  <si>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</si>
  <si>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</si>
  <si>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</si>
  <si>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</si>
  <si>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</si>
  <si>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</si>
  <si>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</si>
  <si>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</si>
  <si>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</si>
  <si>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</si>
  <si>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</si>
  <si>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</si>
  <si>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</si>
  <si>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</si>
  <si>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</si>
  <si>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</si>
  <si>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</si>
  <si>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</si>
  <si>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</si>
  <si>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</si>
  <si>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</si>
  <si>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</si>
  <si>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</si>
  <si>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</si>
  <si>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</si>
  <si>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</si>
  <si>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</si>
  <si>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</si>
  <si>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</si>
  <si>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</si>
  <si>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</si>
  <si>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</si>
  <si>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</si>
  <si>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</si>
  <si>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</si>
  <si>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</si>
  <si>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</si>
  <si>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</si>
  <si>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</si>
  <si>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</si>
  <si>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</si>
  <si>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</si>
  <si>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</si>
  <si>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</si>
  <si>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</si>
  <si>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</si>
  <si>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</si>
  <si>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</si>
  <si>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</si>
  <si>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</si>
  <si>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</si>
  <si>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</si>
  <si>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</si>
  <si>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</si>
  <si>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</si>
  <si>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</si>
  <si>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</si>
  <si>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</si>
  <si>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</si>
  <si>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</si>
  <si>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</si>
  <si>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</si>
  <si>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</si>
  <si>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</si>
  <si>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</si>
  <si>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</si>
  <si>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</si>
  <si>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</si>
  <si>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</si>
  <si>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</si>
  <si>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</si>
  <si>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</si>
  <si>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</si>
  <si>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</si>
  <si>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</si>
  <si>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</si>
  <si>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</si>
  <si>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</si>
  <si>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</si>
  <si>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</si>
  <si>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</si>
  <si>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</si>
  <si>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</si>
  <si>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</si>
  <si>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</si>
  <si>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</si>
  <si>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</si>
  <si>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</si>
  <si>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</si>
  <si>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</si>
  <si>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</si>
  <si>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</si>
  <si>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</si>
  <si>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</si>
  <si>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</si>
  <si>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</si>
  <si>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</si>
  <si>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</si>
  <si>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</si>
  <si>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</si>
  <si>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</si>
  <si>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</si>
  <si>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</si>
  <si>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</si>
  <si>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</si>
  <si>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</si>
  <si>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</si>
  <si>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</si>
  <si>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</si>
  <si>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</si>
  <si>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</si>
  <si>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</si>
  <si>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</si>
  <si>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</si>
  <si>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</si>
  <si>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</si>
  <si>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</si>
  <si>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</si>
  <si>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</si>
  <si>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</si>
  <si>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</si>
  <si>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</si>
  <si>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</si>
  <si>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</si>
  <si>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</si>
  <si>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</si>
  <si>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</si>
  <si>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</si>
  <si>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</si>
  <si>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</si>
  <si>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</si>
  <si>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</si>
  <si>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</si>
  <si>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</si>
  <si>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</si>
  <si>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</si>
  <si>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</si>
  <si>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</si>
  <si>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</si>
  <si>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</si>
  <si>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</si>
  <si>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</si>
  <si>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</si>
  <si>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</si>
  <si>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</si>
  <si>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</si>
  <si>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</si>
  <si>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</si>
  <si>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</si>
  <si>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</si>
  <si>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</si>
  <si>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</si>
  <si>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</si>
  <si>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</si>
  <si>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</si>
  <si>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</si>
  <si>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</si>
  <si>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</si>
  <si>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</si>
  <si>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</si>
  <si>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</si>
  <si>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</si>
  <si>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</si>
  <si>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</si>
  <si>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</si>
  <si>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</si>
  <si>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</si>
  <si>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</si>
  <si>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</si>
  <si>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</si>
  <si>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</si>
  <si>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</si>
  <si>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</si>
  <si>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</si>
  <si>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</si>
  <si>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</si>
  <si>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</si>
  <si>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</si>
  <si>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</si>
  <si>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</si>
  <si>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</si>
  <si>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</si>
  <si>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</si>
  <si>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</si>
  <si>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</si>
  <si>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</si>
  <si>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</si>
  <si>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</si>
  <si>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</si>
  <si>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</si>
  <si>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</si>
  <si>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</si>
  <si>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</si>
  <si>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</si>
  <si>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</si>
  <si>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</si>
  <si>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</si>
  <si>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</si>
  <si>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</si>
  <si>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</si>
  <si>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</si>
  <si>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</si>
  <si>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</si>
  <si>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</si>
  <si>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</si>
  <si>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</si>
  <si>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</si>
  <si>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</si>
  <si>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</si>
  <si>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</si>
  <si>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</si>
  <si>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</si>
  <si>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</si>
  <si>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</si>
  <si>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</si>
  <si>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</si>
  <si>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</si>
  <si>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</si>
  <si>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</si>
  <si>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</si>
  <si>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</si>
  <si>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</si>
  <si>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</si>
  <si>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</si>
  <si>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</si>
  <si>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</si>
  <si>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</si>
  <si>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</si>
  <si>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</si>
  <si>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</si>
  <si>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</si>
  <si>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</si>
  <si>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</si>
  <si>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</si>
  <si>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</si>
  <si>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</si>
  <si>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</si>
  <si>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</si>
  <si>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</si>
  <si>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</si>
  <si>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</si>
  <si>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</si>
  <si>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</si>
  <si>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</si>
  <si>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</si>
  <si>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</si>
  <si>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</si>
  <si>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</si>
  <si>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</si>
  <si>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</si>
  <si>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</si>
  <si>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</si>
  <si>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</si>
  <si>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</si>
  <si>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</si>
  <si>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</si>
  <si>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</si>
  <si>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</si>
  <si>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</si>
  <si>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</si>
  <si>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</si>
  <si>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</si>
  <si>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</si>
  <si>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</si>
  <si>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</si>
  <si>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</si>
  <si>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</si>
  <si>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</si>
  <si>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</si>
  <si>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</si>
  <si>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</si>
  <si>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</si>
  <si>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</si>
  <si>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</si>
  <si>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</si>
  <si>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</si>
  <si>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</si>
  <si>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</si>
  <si>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</si>
  <si>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</si>
  <si>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</si>
  <si>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</si>
  <si>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</si>
  <si>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</si>
  <si>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</si>
  <si>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</si>
  <si>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</si>
  <si>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</si>
  <si>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</si>
  <si>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</si>
  <si>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</si>
  <si>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</si>
  <si>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</si>
  <si>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</si>
  <si>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</si>
  <si>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</si>
  <si>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</si>
  <si>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</si>
  <si>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</si>
  <si>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</si>
  <si>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</si>
  <si>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</si>
  <si>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</si>
  <si>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</si>
  <si>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</si>
  <si>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</si>
  <si>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</si>
  <si>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</si>
  <si>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</si>
  <si>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</si>
  <si>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</si>
  <si>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</si>
  <si>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</si>
  <si>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</si>
  <si>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</si>
  <si>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</si>
  <si>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</si>
  <si>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</si>
  <si>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</si>
  <si>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</si>
  <si>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</si>
  <si>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</si>
  <si>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</si>
  <si>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</si>
  <si>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</si>
  <si>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</si>
  <si>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</si>
  <si>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</si>
  <si>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</si>
  <si>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</si>
  <si>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</si>
  <si>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</si>
  <si>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</si>
  <si>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</si>
  <si>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</si>
  <si>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</si>
  <si>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</si>
  <si>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</si>
  <si>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</si>
  <si>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</si>
  <si>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</si>
  <si>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</si>
  <si>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</si>
  <si>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</si>
  <si>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</si>
  <si>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</si>
  <si>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</si>
  <si>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</si>
  <si>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</si>
  <si>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</si>
  <si>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</si>
  <si>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</si>
  <si>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</si>
  <si>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</si>
  <si>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</si>
  <si>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</si>
  <si>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</si>
  <si>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</si>
  <si>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</si>
  <si>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</si>
  <si>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</si>
  <si>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</si>
  <si>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</si>
  <si>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</si>
  <si>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</si>
  <si>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</si>
  <si>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</si>
  <si>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</si>
  <si>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</si>
  <si>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</si>
  <si>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</si>
  <si>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</si>
  <si>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</si>
  <si>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</si>
  <si>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</si>
  <si>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</si>
  <si>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</si>
  <si>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</si>
  <si>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</si>
  <si>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</si>
  <si>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</si>
  <si>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</si>
  <si>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</si>
  <si>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</si>
  <si>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</si>
  <si>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</si>
  <si>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</si>
  <si>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</si>
  <si>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</si>
  <si>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</si>
  <si>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</si>
  <si>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</si>
  <si>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</si>
  <si>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</si>
  <si>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</si>
  <si>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</si>
  <si>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</si>
  <si>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</si>
  <si>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</si>
  <si>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</si>
  <si>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</si>
  <si>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</si>
  <si>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</si>
  <si>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</si>
  <si>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</si>
  <si>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</si>
  <si>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</si>
  <si>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</si>
  <si>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</si>
  <si>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</si>
  <si>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</si>
  <si>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</si>
  <si>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</si>
  <si>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</si>
  <si>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</si>
  <si>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</si>
  <si>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</si>
  <si>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</si>
  <si>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</si>
  <si>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</si>
  <si>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</si>
  <si>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</si>
  <si>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</si>
  <si>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</si>
  <si>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</si>
  <si>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</si>
  <si>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</si>
  <si>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</si>
  <si>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</si>
  <si>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</si>
  <si>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</si>
  <si>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</si>
  <si>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</si>
  <si>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</si>
  <si>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</si>
  <si>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</si>
  <si>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</si>
  <si>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</si>
  <si>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</si>
  <si>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</si>
  <si>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</si>
  <si>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</si>
  <si>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</si>
  <si>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</si>
  <si>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</si>
  <si>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</si>
  <si>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</si>
  <si>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</si>
  <si>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</si>
  <si>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</si>
  <si>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</si>
  <si>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</si>
  <si>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</si>
  <si>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</si>
  <si>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</si>
  <si>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</si>
  <si>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</si>
  <si>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</si>
  <si>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</si>
  <si>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</si>
  <si>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</si>
  <si>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</si>
  <si>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</si>
  <si>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</si>
  <si>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</si>
  <si>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</si>
  <si>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</si>
  <si>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</si>
  <si>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</si>
  <si>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</si>
  <si>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</si>
  <si>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</si>
  <si>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</si>
  <si>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</si>
  <si>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</si>
  <si>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</si>
  <si>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</si>
  <si>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</si>
  <si>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</si>
  <si>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</si>
  <si>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</si>
  <si>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</si>
  <si>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</si>
  <si>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</si>
  <si>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</si>
  <si>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</si>
  <si>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</si>
  <si>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</si>
  <si>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</si>
  <si>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</si>
  <si>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</si>
  <si>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</si>
  <si>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</si>
  <si>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</si>
  <si>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</si>
  <si>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</si>
  <si>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</si>
  <si>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</si>
  <si>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</si>
  <si>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</si>
  <si>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</si>
  <si>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</si>
  <si>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</si>
  <si>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</si>
  <si>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</si>
  <si>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</si>
  <si>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</si>
  <si>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</si>
  <si>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</si>
  <si>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</si>
  <si>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</si>
  <si>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</si>
  <si>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</si>
  <si>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</si>
  <si>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</si>
  <si>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</si>
  <si>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</si>
  <si>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</si>
  <si>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</si>
  <si>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</si>
  <si>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</si>
  <si>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</si>
  <si>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</si>
  <si>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</si>
  <si>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</si>
  <si>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</si>
  <si>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</si>
  <si>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</si>
  <si>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</si>
  <si>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</si>
  <si>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</si>
  <si>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</si>
  <si>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</si>
  <si>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</si>
  <si>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</si>
  <si>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</si>
  <si>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</si>
  <si>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</si>
  <si>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</si>
  <si>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</si>
  <si>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</si>
  <si>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</si>
  <si>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</si>
  <si>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</si>
  <si>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</si>
  <si>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</si>
  <si>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</si>
  <si>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</si>
  <si>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</si>
  <si>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</si>
  <si>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</si>
  <si>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</si>
  <si>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</si>
  <si>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</si>
  <si>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</si>
  <si>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</si>
  <si>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</si>
  <si>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</si>
  <si>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</si>
  <si>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</si>
  <si>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</si>
  <si>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</si>
  <si>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</si>
  <si>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</si>
  <si>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</si>
  <si>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</si>
  <si>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</si>
  <si>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</si>
  <si>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</si>
  <si>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</si>
  <si>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</si>
  <si>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</si>
  <si>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</si>
  <si>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</si>
  <si>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</si>
  <si>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</si>
  <si>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</si>
  <si>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</si>
  <si>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</si>
  <si>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</si>
  <si>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</si>
  <si>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</si>
  <si>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</si>
  <si>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</si>
  <si>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</si>
  <si>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</si>
  <si>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</si>
  <si>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</si>
  <si>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</si>
  <si>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</si>
  <si>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</si>
  <si>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</si>
  <si>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</si>
  <si>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</si>
  <si>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</si>
  <si>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</si>
  <si>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</si>
  <si>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</si>
  <si>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</si>
  <si>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</si>
  <si>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</si>
  <si>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</si>
  <si>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</si>
  <si>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</si>
  <si>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</si>
  <si>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</si>
  <si>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</si>
  <si>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</si>
  <si>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</si>
  <si>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</si>
  <si>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</si>
  <si>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</si>
  <si>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</si>
  <si>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</si>
  <si>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</si>
  <si>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</si>
  <si>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</si>
  <si>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</si>
  <si>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</si>
  <si>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</si>
  <si>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</si>
  <si>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</si>
  <si>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</si>
  <si>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</si>
  <si>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</si>
  <si>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</si>
  <si>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</si>
  <si>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</si>
  <si>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</si>
  <si>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</si>
  <si>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</si>
  <si>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</si>
  <si>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</si>
  <si>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</si>
  <si>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</si>
  <si>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</si>
  <si>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</si>
  <si>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</si>
  <si>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</si>
  <si>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</si>
  <si>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</si>
  <si>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</si>
  <si>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</si>
  <si>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</si>
  <si>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</si>
  <si>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</si>
  <si>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</si>
  <si>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</si>
  <si>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</si>
  <si>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</si>
  <si>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</si>
  <si>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</si>
  <si>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</si>
  <si>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</si>
  <si>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</si>
  <si>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</si>
  <si>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</si>
  <si>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</si>
  <si>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</si>
  <si>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</si>
  <si>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</si>
  <si>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</si>
  <si>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</si>
  <si>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</si>
  <si>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</si>
  <si>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</si>
  <si>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</si>
  <si>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</si>
  <si>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</si>
  <si>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</si>
  <si>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</si>
  <si>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</si>
  <si>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</si>
  <si>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</si>
  <si>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</si>
  <si>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</si>
  <si>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</si>
  <si>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</si>
  <si>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</si>
  <si>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</si>
  <si>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</si>
  <si>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</si>
  <si>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</si>
  <si>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</si>
  <si>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</si>
  <si>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</si>
  <si>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</si>
  <si>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</si>
  <si>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</si>
  <si>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</si>
  <si>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</si>
  <si>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</si>
  <si>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</si>
  <si>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</si>
  <si>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</si>
  <si>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</si>
  <si>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</si>
  <si>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</si>
  <si>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</si>
  <si>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</si>
  <si>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</si>
  <si>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</si>
  <si>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</si>
  <si>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</si>
  <si>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</si>
  <si>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</si>
  <si>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</si>
  <si>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</si>
  <si>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</si>
  <si>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</si>
  <si>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</si>
  <si>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</si>
  <si>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</si>
  <si>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</si>
  <si>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</si>
  <si>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</si>
  <si>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</si>
  <si>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</si>
  <si>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</si>
  <si>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</si>
  <si>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</si>
  <si>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</si>
  <si>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</si>
  <si>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</si>
  <si>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</si>
  <si>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</si>
  <si>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</si>
  <si>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</si>
  <si>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</si>
  <si>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</si>
  <si>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</si>
  <si>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</si>
  <si>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</si>
  <si>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</si>
  <si>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</si>
  <si>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</si>
  <si>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</si>
  <si>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</si>
  <si>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</si>
  <si>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</si>
  <si>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</si>
  <si>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</si>
  <si>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</si>
  <si>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</si>
  <si>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</si>
  <si>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</si>
  <si>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</si>
  <si>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</si>
  <si>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</si>
  <si>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</si>
  <si>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</si>
  <si>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</si>
  <si>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</si>
  <si>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</si>
  <si>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</si>
  <si>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</si>
  <si>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</si>
  <si>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</si>
  <si>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</si>
  <si>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</si>
  <si>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</si>
  <si>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</si>
  <si>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</si>
  <si>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</si>
  <si>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</si>
  <si>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</si>
  <si>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</si>
  <si>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</si>
  <si>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</si>
  <si>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</si>
  <si>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</si>
  <si>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</si>
  <si>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</si>
  <si>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</si>
  <si>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</si>
  <si>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</si>
  <si>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</si>
  <si>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</si>
  <si>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</si>
  <si>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</si>
  <si>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</si>
  <si>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</si>
  <si>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</si>
  <si>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</si>
  <si>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</si>
  <si>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</si>
  <si>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</si>
  <si>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</si>
  <si>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</si>
  <si>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</si>
  <si>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</si>
  <si>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</si>
  <si>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</si>
  <si>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</si>
  <si>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</si>
  <si>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</si>
  <si>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</si>
  <si>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</si>
  <si>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</si>
  <si>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</si>
  <si>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</si>
  <si>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</si>
  <si>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</si>
  <si>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</si>
  <si>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</si>
  <si>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</si>
  <si>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</si>
  <si>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</si>
  <si>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</si>
  <si>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</si>
  <si>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</si>
  <si>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</si>
  <si>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</si>
  <si>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</si>
  <si>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</si>
  <si>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</si>
  <si>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</si>
  <si>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</si>
  <si>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</si>
  <si>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</si>
  <si>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</si>
  <si>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</si>
  <si>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</si>
  <si>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</si>
  <si>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</si>
  <si>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</si>
  <si>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</si>
  <si>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</si>
  <si>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</si>
  <si>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</si>
  <si>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</si>
  <si>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</si>
  <si>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</si>
  <si>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</si>
  <si>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</si>
  <si>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</si>
  <si>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</si>
  <si>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</si>
  <si>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</si>
  <si>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</si>
  <si>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</si>
  <si>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</si>
  <si>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</si>
  <si>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</si>
  <si>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</si>
  <si>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</si>
  <si>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</si>
  <si>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</si>
  <si>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</si>
  <si>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</si>
  <si>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</si>
  <si>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</si>
  <si>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</si>
  <si>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</si>
  <si>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</si>
  <si>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</si>
  <si>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</si>
  <si>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</si>
  <si>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</si>
  <si>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</si>
  <si>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</si>
  <si>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</si>
  <si>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</si>
  <si>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</si>
  <si>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</si>
  <si>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</si>
  <si>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</si>
  <si>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</si>
  <si>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</si>
  <si>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</si>
  <si>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</si>
  <si>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</si>
  <si>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</si>
  <si>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</si>
  <si>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</si>
  <si>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</si>
  <si>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</si>
  <si>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</si>
  <si>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</si>
  <si>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</si>
  <si>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</si>
  <si>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</si>
  <si>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</si>
  <si>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</si>
  <si>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</si>
  <si>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</si>
  <si>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</si>
  <si>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</si>
  <si>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</si>
  <si>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</si>
  <si>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</si>
  <si>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</si>
  <si>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</si>
  <si>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</si>
  <si>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</si>
  <si>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</si>
  <si>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</si>
  <si>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</si>
  <si>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</si>
  <si>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</si>
  <si>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</si>
  <si>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</si>
  <si>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</si>
  <si>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</si>
  <si>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</si>
  <si>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</si>
  <si>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</si>
  <si>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</si>
  <si>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</si>
  <si>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</si>
  <si>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</si>
  <si>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</si>
  <si>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</si>
  <si>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</si>
  <si>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</si>
  <si>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</si>
  <si>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</si>
  <si>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</si>
  <si>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</si>
  <si>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</si>
  <si>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</si>
  <si>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</si>
  <si>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</si>
  <si>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</si>
  <si>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</si>
  <si>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</si>
  <si>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</si>
  <si>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</si>
  <si>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</si>
  <si>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</si>
  <si>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</si>
  <si>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</si>
  <si>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</si>
  <si>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</si>
  <si>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</si>
  <si>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</si>
  <si>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</si>
  <si>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</si>
  <si>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</si>
  <si>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</si>
  <si>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</si>
  <si>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</si>
  <si>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</si>
  <si>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</si>
  <si>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</si>
  <si>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</si>
  <si>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</si>
  <si>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</si>
  <si>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</si>
  <si>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</si>
  <si>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</si>
  <si>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</si>
  <si>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</si>
  <si>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</si>
  <si>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</si>
  <si>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</si>
  <si>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</si>
  <si>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</si>
  <si>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</si>
  <si>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</si>
  <si>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</si>
  <si>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</si>
  <si>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</si>
  <si>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</si>
  <si>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</si>
  <si>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</si>
  <si>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</si>
  <si>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</si>
  <si>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</si>
  <si>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</si>
  <si>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</si>
  <si>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</si>
  <si>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</si>
  <si>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</si>
  <si>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</si>
  <si>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</si>
  <si>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</si>
  <si>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</si>
  <si>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</si>
  <si>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</si>
  <si>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</si>
  <si>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</si>
  <si>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</si>
  <si>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</si>
  <si>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</si>
  <si>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</si>
  <si>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</si>
  <si>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</si>
  <si>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</si>
  <si>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</si>
  <si>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</si>
  <si>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</si>
  <si>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</si>
  <si>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</si>
  <si>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</si>
  <si>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</si>
  <si>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</si>
  <si>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</si>
  <si>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</si>
  <si>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</si>
  <si>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</si>
  <si>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</si>
  <si>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</si>
  <si>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</si>
  <si>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</si>
  <si>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</si>
  <si>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</si>
  <si>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</si>
  <si>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</si>
  <si>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</si>
  <si>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</si>
  <si>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</si>
  <si>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</si>
  <si>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</si>
  <si>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</si>
  <si>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</si>
  <si>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</si>
  <si>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</si>
  <si>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</si>
  <si>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</si>
  <si>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</si>
  <si>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</si>
  <si>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</si>
  <si>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</si>
  <si>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</si>
  <si>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</si>
  <si>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</si>
  <si>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</si>
  <si>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</si>
  <si>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</si>
  <si>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</si>
  <si>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</si>
  <si>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</si>
  <si>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</si>
  <si>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</si>
  <si>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</si>
  <si>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</si>
  <si>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</si>
  <si>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</si>
  <si>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</si>
  <si>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</si>
  <si>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</si>
  <si>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</si>
  <si>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</si>
  <si>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</si>
  <si>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</si>
  <si>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</si>
  <si>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</si>
  <si>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</si>
  <si>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</si>
  <si>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</si>
  <si>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</si>
  <si>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</si>
  <si>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</si>
  <si>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</si>
  <si>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</si>
  <si>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</si>
  <si>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</si>
  <si>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</si>
  <si>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</si>
  <si>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</si>
  <si>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</si>
  <si>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</si>
  <si>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</si>
  <si>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</si>
  <si>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</si>
  <si>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</si>
  <si>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</si>
  <si>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</si>
  <si>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</si>
  <si>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</si>
  <si>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</si>
  <si>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</si>
  <si>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</si>
  <si>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</si>
  <si>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</si>
  <si>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</si>
  <si>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</si>
  <si>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</si>
  <si>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</si>
  <si>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</si>
  <si>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</si>
  <si>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</si>
  <si>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</si>
  <si>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</si>
  <si>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</si>
  <si>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</si>
  <si>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</si>
  <si>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</si>
  <si>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</si>
  <si>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</si>
  <si>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</si>
  <si>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</si>
  <si>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</si>
  <si>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</si>
  <si>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</si>
  <si>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</si>
  <si>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</si>
  <si>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</si>
  <si>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</si>
  <si>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</si>
  <si>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</si>
  <si>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</si>
  <si>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</si>
  <si>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</si>
  <si>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</si>
  <si>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</si>
  <si>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</si>
  <si>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</si>
  <si>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</si>
  <si>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</si>
  <si>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</si>
  <si>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</si>
  <si>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</si>
  <si>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</si>
  <si>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</si>
  <si>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</si>
  <si>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</si>
  <si>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</si>
  <si>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</si>
  <si>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</si>
  <si>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</si>
  <si>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</si>
  <si>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</si>
  <si>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</si>
  <si>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</si>
  <si>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</si>
  <si>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</si>
  <si>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</si>
  <si>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</si>
  <si>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</si>
  <si>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</si>
  <si>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</si>
  <si>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</si>
  <si>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</si>
  <si>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</si>
  <si>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</si>
  <si>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</si>
  <si>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</si>
  <si>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</si>
  <si>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</si>
  <si>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</si>
  <si>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</si>
  <si>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</si>
  <si>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</si>
  <si>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</si>
  <si>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</si>
  <si>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</si>
  <si>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</si>
  <si>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</si>
  <si>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</si>
  <si>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</si>
  <si>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</si>
  <si>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</si>
  <si>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</si>
  <si>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</si>
  <si>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</si>
  <si>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</si>
  <si>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</si>
  <si>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</si>
  <si>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</si>
  <si>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</si>
  <si>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</si>
  <si>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</si>
  <si>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</si>
  <si>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</si>
  <si>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</si>
  <si>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</si>
  <si>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</si>
  <si>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</si>
  <si>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</si>
  <si>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</si>
  <si>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</si>
  <si>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</si>
  <si>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</si>
  <si>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</si>
  <si>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</si>
  <si>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</si>
  <si>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</si>
  <si>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</si>
  <si>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</si>
  <si>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</si>
  <si>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</si>
  <si>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</si>
  <si>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</si>
  <si>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</si>
  <si>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</si>
  <si>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</si>
  <si>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</si>
  <si>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</si>
  <si>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</si>
  <si>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</si>
  <si>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</si>
  <si>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</si>
  <si>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</si>
  <si>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</si>
  <si>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</si>
  <si>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</si>
  <si>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</si>
  <si>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</si>
  <si>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</si>
  <si>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</si>
  <si>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</si>
  <si>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</si>
  <si>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</si>
  <si>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</si>
  <si>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</si>
  <si>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</si>
  <si>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</si>
  <si>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</si>
  <si>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</si>
  <si>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</si>
  <si>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</si>
  <si>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</si>
  <si>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</si>
  <si>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</si>
  <si>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</si>
  <si>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</si>
  <si>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</si>
  <si>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</si>
  <si>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</si>
  <si>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</si>
  <si>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</si>
  <si>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</si>
  <si>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</si>
  <si>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</si>
  <si>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</si>
  <si>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</si>
  <si>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</si>
  <si>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</si>
  <si>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</si>
  <si>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</si>
  <si>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</si>
  <si>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</si>
  <si>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</si>
  <si>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</si>
  <si>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</si>
  <si>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</si>
  <si>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</si>
  <si>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</si>
  <si>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</si>
  <si>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</si>
  <si>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</si>
  <si>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</si>
  <si>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</si>
  <si>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</si>
  <si>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</si>
  <si>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</si>
  <si>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</si>
  <si>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</si>
  <si>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</si>
  <si>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</si>
  <si>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</si>
  <si>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</si>
  <si>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</si>
  <si>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</si>
  <si>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</si>
  <si>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</si>
  <si>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</si>
  <si>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</si>
  <si>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</si>
  <si>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</si>
  <si>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</si>
  <si>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</si>
  <si>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</si>
  <si>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</si>
  <si>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</si>
  <si>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</si>
  <si>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</si>
  <si>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</si>
  <si>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</si>
  <si>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</si>
  <si>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</si>
  <si>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</si>
  <si>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</si>
  <si>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</si>
  <si>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</si>
  <si>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</si>
  <si>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</si>
  <si>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</si>
  <si>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</si>
  <si>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</si>
  <si>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</si>
  <si>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</si>
  <si>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</si>
  <si>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</si>
  <si>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</si>
  <si>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</si>
  <si>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</si>
  <si>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</si>
  <si>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</si>
  <si>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</si>
  <si>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</si>
  <si>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</si>
  <si>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</si>
  <si>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</si>
  <si>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</si>
  <si>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</si>
  <si>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</si>
  <si>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</si>
  <si>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</si>
  <si>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</si>
  <si>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</si>
  <si>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</si>
  <si>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</si>
  <si>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</si>
  <si>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</si>
  <si>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</si>
  <si>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</si>
  <si>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</si>
  <si>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</si>
  <si>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</si>
  <si>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</si>
  <si>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</si>
  <si>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</si>
  <si>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</si>
  <si>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</si>
  <si>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</si>
  <si>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</si>
  <si>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</si>
  <si>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</si>
  <si>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</si>
  <si>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</si>
  <si>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</si>
  <si>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</si>
  <si>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</si>
  <si>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</si>
  <si>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</si>
  <si>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</si>
  <si>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</si>
  <si>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</si>
  <si>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</si>
  <si>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</si>
  <si>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</si>
  <si>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</si>
  <si>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</si>
  <si>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</si>
  <si>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</si>
  <si>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</si>
  <si>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</si>
  <si>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</si>
  <si>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</si>
  <si>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</si>
  <si>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</si>
  <si>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</si>
  <si>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</si>
  <si>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</si>
  <si>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</si>
  <si>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</si>
  <si>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</si>
  <si>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</si>
  <si>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</si>
  <si>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</si>
  <si>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</si>
  <si>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</si>
  <si>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</si>
  <si>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</si>
  <si>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</si>
  <si>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</si>
  <si>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</si>
  <si>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</si>
  <si>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</si>
  <si>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</si>
  <si>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</si>
  <si>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</si>
  <si>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</si>
  <si>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</si>
  <si>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</si>
  <si>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</si>
  <si>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</si>
  <si>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</si>
  <si>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</si>
  <si>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</si>
  <si>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</si>
  <si>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</si>
  <si>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</si>
  <si>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</si>
  <si>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</si>
  <si>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</si>
  <si>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</si>
  <si>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</si>
  <si>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</si>
  <si>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</si>
  <si>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</si>
  <si>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</si>
  <si>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</si>
  <si>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</si>
  <si>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</si>
  <si>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</si>
  <si>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</si>
  <si>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</si>
  <si>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</si>
  <si>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</si>
  <si>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</si>
  <si>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</si>
  <si>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</si>
  <si>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</si>
  <si>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</si>
  <si>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</si>
  <si>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</si>
  <si>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</si>
  <si>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</si>
  <si>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</si>
  <si>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</si>
  <si>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</si>
  <si>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</si>
  <si>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</si>
  <si>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</si>
  <si>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</si>
  <si>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</si>
  <si>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</si>
  <si>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</si>
  <si>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</si>
  <si>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</si>
  <si>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</si>
  <si>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</si>
  <si>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</si>
  <si>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</si>
  <si>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</si>
  <si>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</si>
  <si>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</si>
  <si>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</si>
  <si>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</si>
  <si>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</si>
  <si>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</si>
  <si>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</si>
  <si>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</si>
  <si>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</si>
  <si>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</si>
  <si>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</si>
  <si>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</si>
  <si>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</si>
  <si>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</si>
  <si>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</si>
  <si>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</si>
  <si>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</si>
  <si>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</si>
  <si>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</si>
  <si>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</si>
  <si>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</si>
  <si>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</si>
  <si>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</si>
  <si>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</si>
  <si>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</si>
  <si>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</si>
  <si>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</si>
  <si>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</si>
  <si>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</si>
  <si>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</si>
  <si>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</si>
  <si>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</si>
  <si>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</si>
  <si>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</si>
  <si>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</si>
  <si>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</si>
  <si>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</si>
  <si>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</si>
  <si>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</si>
  <si>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</si>
  <si>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</si>
  <si>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</si>
  <si>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</si>
  <si>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</si>
  <si>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</si>
  <si>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</si>
  <si>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</si>
  <si>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</si>
  <si>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</si>
  <si>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</si>
  <si>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</si>
  <si>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</si>
  <si>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</si>
  <si>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</si>
  <si>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</si>
  <si>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</si>
  <si>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</si>
  <si>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</si>
  <si>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</si>
  <si>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</si>
  <si>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</si>
  <si>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</si>
  <si>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</si>
  <si>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</si>
  <si>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</si>
  <si>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</si>
  <si>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</si>
  <si>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</si>
  <si>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</si>
  <si>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</si>
  <si>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</si>
  <si>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</si>
  <si>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</si>
  <si>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</si>
  <si>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</si>
  <si>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</si>
  <si>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</si>
  <si>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</si>
  <si>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</si>
  <si>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</si>
  <si>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</si>
  <si>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</si>
  <si>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</si>
  <si>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</si>
  <si>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</si>
  <si>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</si>
  <si>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</si>
  <si>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</si>
  <si>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</si>
  <si>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</si>
  <si>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</si>
  <si>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</si>
  <si>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</si>
  <si>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</si>
  <si>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</si>
  <si>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</si>
  <si>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</si>
  <si>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</si>
  <si>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</si>
  <si>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</si>
  <si>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</si>
  <si>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</si>
  <si>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</si>
  <si>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</si>
  <si>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</si>
  <si>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</si>
  <si>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</si>
  <si>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</si>
  <si>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</si>
  <si>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</si>
  <si>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</si>
  <si>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</si>
  <si>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</si>
  <si>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</si>
  <si>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</si>
  <si>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</si>
  <si>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</si>
  <si>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</si>
  <si>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</si>
  <si>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</si>
  <si>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</si>
  <si>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</si>
  <si>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</si>
  <si>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</si>
  <si>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</si>
  <si>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</si>
  <si>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</si>
  <si>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</si>
  <si>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</si>
  <si>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</si>
  <si>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</si>
  <si>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</si>
  <si>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</si>
  <si>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</si>
  <si>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</si>
  <si>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</si>
  <si>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</si>
  <si>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</si>
  <si>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</si>
  <si>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</si>
  <si>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</si>
  <si>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</si>
  <si>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</si>
  <si>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</si>
  <si>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</si>
  <si>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</si>
  <si>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</si>
  <si>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</si>
  <si>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</si>
  <si>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</si>
  <si>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</si>
  <si>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</si>
  <si>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</si>
  <si>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</si>
  <si>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</si>
  <si>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</si>
  <si>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</si>
  <si>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</si>
  <si>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</si>
  <si>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</si>
  <si>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</si>
  <si>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</si>
  <si>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</si>
  <si>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</si>
  <si>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</si>
  <si>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</si>
  <si>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</si>
  <si>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</si>
  <si>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</si>
  <si>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</si>
  <si>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</si>
  <si>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</si>
  <si>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</si>
  <si>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</si>
  <si>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</si>
  <si>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</si>
  <si>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</si>
  <si>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</si>
  <si>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</si>
  <si>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</si>
  <si>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</si>
  <si>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</si>
  <si>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</si>
  <si>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</si>
  <si>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</si>
  <si>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</si>
  <si>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</si>
  <si>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</si>
  <si>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</si>
  <si>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</si>
  <si>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</si>
  <si>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</si>
  <si>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</si>
  <si>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</si>
  <si>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</si>
  <si>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</si>
  <si>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</si>
  <si>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</si>
  <si>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</si>
  <si>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</si>
  <si>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</si>
  <si>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</si>
  <si>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</si>
  <si>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</si>
  <si>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</si>
  <si>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</si>
  <si>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</si>
  <si>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</si>
  <si>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</si>
  <si>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</si>
  <si>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</si>
  <si>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</si>
  <si>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</si>
  <si>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</si>
  <si>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</si>
  <si>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</si>
  <si>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</si>
  <si>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</si>
  <si>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</si>
  <si>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</si>
  <si>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</si>
  <si>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</si>
  <si>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</si>
  <si>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</si>
  <si>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</si>
  <si>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</si>
  <si>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</si>
  <si>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</si>
  <si>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</si>
  <si>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</si>
  <si>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</si>
  <si>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</si>
  <si>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</si>
  <si>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</si>
  <si>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</si>
  <si>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</si>
  <si>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</si>
  <si>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</si>
  <si>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</si>
  <si>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</si>
  <si>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</si>
  <si>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</si>
  <si>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</si>
  <si>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</si>
  <si>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</si>
  <si>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</si>
  <si>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</si>
  <si>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</si>
  <si>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</si>
  <si>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</si>
  <si>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</si>
  <si>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</si>
  <si>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</si>
  <si>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</si>
  <si>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</si>
  <si>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</si>
  <si>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</si>
  <si>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</si>
  <si>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</si>
  <si>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</si>
  <si>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</si>
  <si>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</si>
  <si>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</si>
  <si>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</si>
  <si>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</si>
  <si>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</si>
  <si>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</si>
  <si>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</si>
  <si>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</si>
  <si>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</si>
  <si>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</si>
  <si>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</si>
  <si>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</si>
  <si>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</si>
  <si>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</si>
  <si>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</si>
  <si>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</si>
  <si>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</si>
  <si>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</si>
  <si>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</si>
  <si>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</si>
  <si>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</si>
  <si>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</si>
  <si>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</si>
  <si>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</si>
  <si>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</si>
  <si>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</si>
  <si>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</si>
  <si>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</si>
  <si>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</si>
  <si>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</si>
  <si>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</si>
  <si>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</si>
  <si>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</si>
  <si>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</si>
  <si>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</si>
  <si>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</si>
  <si>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</si>
  <si>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</si>
  <si>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</si>
  <si>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</si>
  <si>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</si>
  <si>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</si>
  <si>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</si>
  <si>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</si>
  <si>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</si>
  <si>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</si>
  <si>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</si>
  <si>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</si>
  <si>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</si>
  <si>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</si>
  <si>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</si>
  <si>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</si>
  <si>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</si>
  <si>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</si>
  <si>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</si>
  <si>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</si>
  <si>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</si>
  <si>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</si>
  <si>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</si>
  <si>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</si>
  <si>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</si>
  <si>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</si>
  <si>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</si>
  <si>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</si>
  <si>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</si>
  <si>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</si>
  <si>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</si>
  <si>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</si>
  <si>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</si>
  <si>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</si>
  <si>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</si>
  <si>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</si>
  <si>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</si>
  <si>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</si>
  <si>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</si>
  <si>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</si>
  <si>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</si>
  <si>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</si>
  <si>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</si>
  <si>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</si>
  <si>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</si>
  <si>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</si>
  <si>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</si>
  <si>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</si>
  <si>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</si>
  <si>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</si>
  <si>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</si>
  <si>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</si>
  <si>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</si>
  <si>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</si>
  <si>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</si>
  <si>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</si>
  <si>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</si>
  <si>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</si>
  <si>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</si>
  <si>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</si>
  <si>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</si>
  <si>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</si>
  <si>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</si>
  <si>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</si>
  <si>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</si>
  <si>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</si>
  <si>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</si>
  <si>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</si>
  <si>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</si>
  <si>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</si>
  <si>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</si>
  <si>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</si>
  <si>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</si>
  <si>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</si>
  <si>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</si>
  <si>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</si>
  <si>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</si>
  <si>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</si>
  <si>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</si>
  <si>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</si>
  <si>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</si>
  <si>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</si>
  <si>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</si>
  <si>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</si>
  <si>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</si>
  <si>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</si>
  <si>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</si>
  <si>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</si>
  <si>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</si>
  <si>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</si>
  <si>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</si>
  <si>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</si>
  <si>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</si>
  <si>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</si>
  <si>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</si>
  <si>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</si>
  <si>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</si>
  <si>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</si>
  <si>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</si>
  <si>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</si>
  <si>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</si>
  <si>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</si>
  <si>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</si>
  <si>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</si>
  <si>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</si>
  <si>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</si>
  <si>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</si>
  <si>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</si>
  <si>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</si>
  <si>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</si>
  <si>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</si>
  <si>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</si>
  <si>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</si>
  <si>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</si>
  <si>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</si>
  <si>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</si>
  <si>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</si>
  <si>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</si>
  <si>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</si>
  <si>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</si>
  <si>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</si>
  <si>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</si>
  <si>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</si>
  <si>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</si>
  <si>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</si>
  <si>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</si>
  <si>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</si>
  <si>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</si>
  <si>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</si>
  <si>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</si>
  <si>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</si>
  <si>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</si>
  <si>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</si>
  <si>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</si>
  <si>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</si>
  <si>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</si>
  <si>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</si>
  <si>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</si>
  <si>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</si>
  <si>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</si>
  <si>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</si>
  <si>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</si>
  <si>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</si>
  <si>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</si>
  <si>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</si>
  <si>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</si>
  <si>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</si>
  <si>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</si>
  <si>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</si>
  <si>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</si>
  <si>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</si>
  <si>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</si>
  <si>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</si>
  <si>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</si>
  <si>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</si>
  <si>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</si>
  <si>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</si>
  <si>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</si>
  <si>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</si>
  <si>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</si>
  <si>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</si>
  <si>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</si>
  <si>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</si>
  <si>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</si>
  <si>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</si>
  <si>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</si>
  <si>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</si>
  <si>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</si>
  <si>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</si>
  <si>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</si>
  <si>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</si>
  <si>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</si>
  <si>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</si>
  <si>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</si>
  <si>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</si>
  <si>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</si>
  <si>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</si>
  <si>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</si>
  <si>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</si>
  <si>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</si>
  <si>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</si>
  <si>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</si>
  <si>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</si>
  <si>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</si>
  <si>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</si>
  <si>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</si>
  <si>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</si>
  <si>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</si>
  <si>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</si>
  <si>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</si>
  <si>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</si>
  <si>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</si>
  <si>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</si>
  <si>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</si>
  <si>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</si>
  <si>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</si>
  <si>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</si>
  <si>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</si>
  <si>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</si>
  <si>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</si>
  <si>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</si>
  <si>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</si>
  <si>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</si>
  <si>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</si>
  <si>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</si>
  <si>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</si>
  <si>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</si>
  <si>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</si>
  <si>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</si>
  <si>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</si>
  <si>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</si>
  <si>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</si>
  <si>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</si>
  <si>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</si>
  <si>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</si>
  <si>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</si>
  <si>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</si>
  <si>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</si>
  <si>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</si>
  <si>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</si>
  <si>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</si>
  <si>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</si>
  <si>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</si>
  <si>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</si>
  <si>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</si>
  <si>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</si>
  <si>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</si>
  <si>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</si>
  <si>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</si>
  <si>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</si>
  <si>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</si>
  <si>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</si>
  <si>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</si>
  <si>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</si>
  <si>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</si>
  <si>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</si>
  <si>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</si>
  <si>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</si>
  <si>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</si>
  <si>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</si>
  <si>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</si>
  <si>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</si>
  <si>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</si>
  <si>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</si>
  <si>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</si>
  <si>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</si>
  <si>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</si>
  <si>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</si>
  <si>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</si>
  <si>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</si>
  <si>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</si>
  <si>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</si>
  <si>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</si>
  <si>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</si>
  <si>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</si>
  <si>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</si>
  <si>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</si>
  <si>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</si>
  <si>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</si>
  <si>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</si>
  <si>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</si>
  <si>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</si>
  <si>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</si>
  <si>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</si>
  <si>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</si>
  <si>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</si>
  <si>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</si>
  <si>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</si>
  <si>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</si>
  <si>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</si>
  <si>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</si>
  <si>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</si>
  <si>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</si>
  <si>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</si>
  <si>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</si>
  <si>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</si>
  <si>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</si>
  <si>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</si>
  <si>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</si>
  <si>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</si>
  <si>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</si>
  <si>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</si>
  <si>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</si>
  <si>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</si>
  <si>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</si>
  <si>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</si>
  <si>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</si>
  <si>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</si>
  <si>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</si>
  <si>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</si>
  <si>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</si>
  <si>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</si>
  <si>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</si>
  <si>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</si>
  <si>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</si>
  <si>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</si>
  <si>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</si>
  <si>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</si>
  <si>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</si>
  <si>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</si>
  <si>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</si>
  <si>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</si>
  <si>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</si>
  <si>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</si>
  <si>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</si>
  <si>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</si>
  <si>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</si>
  <si>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</si>
  <si>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</si>
  <si>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</si>
  <si>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</si>
  <si>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</si>
  <si>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</si>
  <si>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</si>
  <si>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</si>
  <si>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</si>
  <si>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</si>
  <si>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</si>
  <si>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</si>
  <si>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</si>
  <si>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</si>
  <si>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</si>
  <si>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</si>
  <si>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</si>
  <si>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</si>
  <si>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</si>
  <si>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</si>
  <si>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</si>
  <si>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</si>
  <si>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</si>
  <si>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</si>
  <si>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</si>
  <si>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</si>
  <si>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</si>
  <si>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</si>
  <si>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</si>
  <si>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</si>
  <si>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</si>
  <si>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</si>
  <si>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</si>
  <si>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</si>
  <si>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</si>
  <si>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</si>
  <si>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</si>
  <si>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</si>
  <si>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</si>
  <si>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</si>
  <si>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</si>
  <si>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</si>
  <si>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</si>
  <si>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</si>
  <si>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</si>
  <si>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</si>
  <si>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</si>
  <si>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</si>
  <si>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</si>
  <si>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</si>
  <si>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</si>
  <si>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</si>
  <si>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</si>
  <si>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</si>
  <si>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</si>
  <si>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</si>
  <si>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</si>
  <si>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</si>
  <si>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</si>
  <si>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</si>
  <si>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</si>
  <si>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</si>
  <si>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</si>
  <si>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</si>
  <si>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</si>
  <si>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</si>
  <si>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</si>
  <si>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</si>
  <si>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</si>
  <si>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</si>
  <si>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</si>
  <si>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</si>
  <si>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</si>
  <si>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</si>
  <si>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</si>
  <si>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</si>
  <si>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</si>
  <si>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</si>
  <si>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</si>
  <si>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</si>
  <si>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</si>
  <si>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</si>
  <si>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</si>
  <si>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</si>
  <si>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</si>
  <si>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</si>
  <si>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</si>
  <si>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</si>
  <si>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</si>
  <si>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</si>
  <si>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</si>
  <si>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</si>
  <si>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</si>
  <si>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</si>
  <si>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</si>
  <si>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</si>
  <si>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</si>
  <si>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</si>
  <si>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</si>
  <si>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</si>
  <si>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</si>
  <si>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</si>
  <si>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</si>
  <si>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</si>
  <si>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</si>
  <si>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</si>
  <si>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</si>
  <si>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</si>
  <si>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</si>
  <si>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</si>
  <si>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</si>
  <si>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</si>
  <si>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</si>
  <si>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</si>
  <si>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</si>
  <si>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</si>
  <si>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</si>
  <si>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</si>
  <si>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</si>
  <si>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</si>
  <si>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</si>
  <si>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</si>
  <si>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</si>
  <si>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</si>
  <si>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</si>
  <si>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</si>
  <si>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</si>
  <si>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</si>
  <si>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</si>
  <si>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</si>
  <si>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</si>
  <si>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</si>
  <si>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</si>
  <si>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</si>
  <si>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</si>
  <si>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</si>
  <si>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</si>
  <si>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</si>
  <si>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</si>
  <si>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</si>
  <si>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</si>
  <si>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</si>
  <si>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</si>
  <si>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</si>
  <si>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</si>
  <si>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</si>
  <si>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</si>
  <si>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</si>
  <si>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</si>
  <si>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</si>
  <si>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</si>
  <si>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</si>
  <si>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</si>
  <si>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</si>
  <si>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</si>
  <si>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</si>
  <si>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</si>
  <si>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</si>
  <si>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</si>
  <si>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</si>
  <si>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</si>
  <si>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</si>
  <si>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</si>
  <si>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</si>
  <si>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</si>
  <si>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</si>
  <si>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</si>
  <si>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</si>
  <si>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</si>
  <si>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</si>
  <si>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</si>
  <si>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</si>
  <si>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</si>
  <si>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</si>
  <si>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</si>
  <si>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</si>
  <si>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</si>
  <si>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</si>
  <si>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</si>
  <si>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</si>
  <si>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</si>
  <si>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</si>
  <si>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</si>
  <si>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</si>
  <si>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</si>
  <si>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</si>
  <si>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</si>
  <si>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</si>
  <si>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</si>
  <si>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</si>
  <si>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</si>
  <si>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</si>
  <si>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</si>
  <si>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</si>
  <si>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</si>
  <si>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</si>
  <si>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</si>
  <si>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</si>
  <si>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</si>
  <si>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</si>
  <si>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</si>
  <si>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</si>
  <si>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</si>
  <si>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</si>
  <si>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</si>
  <si>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</si>
  <si>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</si>
  <si>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</si>
  <si>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</si>
  <si>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</si>
  <si>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</si>
  <si>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</si>
  <si>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</si>
  <si>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</si>
  <si>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</si>
  <si>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</si>
  <si>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</si>
  <si>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</si>
  <si>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</si>
  <si>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</si>
  <si>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</si>
  <si>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</si>
  <si>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</si>
  <si>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</si>
  <si>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</si>
  <si>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</si>
  <si>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</si>
  <si>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</si>
  <si>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</si>
  <si>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</si>
  <si>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</si>
  <si>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</si>
  <si>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</si>
  <si>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</si>
  <si>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</si>
  <si>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</si>
  <si>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</si>
  <si>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</si>
  <si>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</si>
  <si>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</si>
  <si>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</si>
  <si>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</si>
  <si>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</si>
  <si>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</si>
  <si>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</si>
  <si>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</si>
  <si>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</si>
  <si>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</si>
  <si>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</si>
  <si>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</si>
  <si>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</si>
  <si>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</si>
  <si>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</si>
  <si>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</si>
  <si>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</si>
  <si>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</si>
  <si>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</si>
  <si>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</si>
  <si>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</si>
  <si>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</si>
  <si>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</si>
  <si>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</si>
  <si>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</si>
  <si>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</si>
  <si>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</si>
  <si>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</si>
  <si>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</si>
  <si>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</si>
  <si>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</si>
  <si>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</si>
  <si>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</si>
  <si>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</si>
  <si>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</si>
  <si>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</si>
  <si>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</si>
  <si>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</si>
  <si>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</si>
  <si>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</si>
  <si>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</si>
  <si>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</si>
  <si>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</si>
  <si>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</si>
  <si>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</si>
  <si>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</si>
  <si>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</si>
  <si>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</si>
  <si>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</si>
  <si>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</si>
  <si>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</si>
  <si>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</si>
  <si>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</si>
  <si>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</si>
  <si>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</si>
  <si>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</si>
  <si>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</si>
  <si>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</si>
  <si>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</si>
  <si>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</si>
  <si>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</si>
  <si>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</si>
  <si>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</si>
  <si>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</si>
  <si>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</si>
  <si>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</si>
  <si>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</si>
  <si>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</si>
  <si>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</si>
  <si>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</si>
  <si>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</si>
  <si>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</si>
  <si>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</si>
  <si>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</si>
  <si>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</si>
  <si>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</si>
  <si>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</si>
  <si>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</si>
  <si>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</si>
  <si>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</si>
  <si>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</si>
  <si>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</si>
  <si>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</si>
  <si>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</si>
  <si>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</si>
  <si>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</si>
  <si>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</si>
  <si>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</si>
  <si>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</si>
  <si>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</si>
  <si>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</si>
  <si>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</si>
  <si>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</si>
  <si>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</si>
  <si>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</si>
  <si>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</si>
  <si>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</si>
  <si>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</si>
  <si>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</si>
  <si>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</si>
  <si>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</si>
  <si>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</si>
  <si>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</si>
  <si>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</si>
  <si>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</si>
  <si>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</si>
  <si>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</si>
  <si>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</si>
  <si>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</si>
  <si>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</si>
  <si>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</si>
  <si>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</si>
  <si>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</si>
  <si>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</si>
  <si>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</si>
  <si>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</si>
  <si>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</si>
  <si>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</si>
  <si>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</si>
  <si>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</si>
  <si>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</si>
  <si>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</si>
  <si>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</si>
  <si>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</si>
  <si>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</si>
  <si>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</si>
  <si>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</si>
  <si>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</si>
  <si>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</si>
  <si>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</si>
  <si>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</si>
  <si>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</si>
  <si>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</si>
  <si>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</si>
  <si>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</si>
  <si>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</si>
  <si>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</si>
  <si>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</si>
  <si>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</si>
  <si>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</si>
  <si>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</si>
  <si>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</si>
  <si>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</si>
  <si>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</si>
  <si>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</si>
  <si>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</si>
  <si>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</si>
  <si>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</si>
  <si>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</si>
  <si>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</si>
  <si>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</si>
  <si>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</si>
  <si>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</si>
  <si>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</si>
  <si>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</si>
  <si>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</si>
  <si>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</si>
  <si>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</si>
  <si>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</si>
  <si>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</si>
  <si>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</si>
  <si>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</si>
  <si>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</si>
  <si>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</si>
  <si>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</si>
  <si>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</si>
  <si>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</si>
  <si>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</si>
  <si>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</si>
  <si>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</si>
  <si>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</si>
  <si>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</si>
  <si>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</si>
  <si>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</si>
  <si>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</si>
  <si>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</si>
  <si>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</si>
  <si>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</si>
  <si>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</si>
  <si>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</si>
  <si>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</si>
  <si>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</si>
  <si>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</si>
  <si>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</si>
  <si>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</si>
  <si>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</si>
  <si>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</si>
  <si>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</si>
  <si>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</si>
  <si>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</si>
  <si>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</si>
  <si>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</si>
  <si>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</si>
  <si>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</si>
  <si>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</si>
  <si>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</si>
  <si>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</si>
  <si>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</si>
  <si>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</si>
  <si>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</si>
  <si>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</si>
  <si>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</si>
  <si>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</si>
  <si>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</si>
  <si>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</si>
  <si>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</si>
  <si>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</si>
  <si>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</si>
  <si>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</si>
  <si>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</si>
  <si>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</si>
  <si>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</si>
  <si>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</si>
  <si>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</si>
  <si>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</si>
  <si>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</si>
  <si>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</si>
  <si>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</si>
  <si>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</si>
  <si>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</si>
  <si>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</si>
  <si>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</si>
  <si>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</si>
  <si>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</si>
  <si>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</si>
  <si>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</si>
  <si>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</si>
  <si>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</si>
  <si>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</si>
  <si>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</si>
  <si>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</si>
  <si>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</si>
  <si>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</si>
  <si>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</si>
  <si>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</si>
  <si>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</si>
  <si>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</si>
  <si>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</si>
  <si>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</si>
  <si>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</si>
  <si>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</si>
  <si>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</si>
  <si>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</si>
  <si>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</si>
  <si>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</si>
  <si>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</si>
  <si>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</si>
  <si>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</si>
  <si>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</si>
  <si>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</si>
  <si>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</si>
  <si>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</si>
  <si>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</si>
  <si>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</si>
  <si>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</si>
  <si>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</si>
  <si>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</si>
  <si>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</si>
  <si>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</si>
  <si>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</si>
  <si>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</si>
  <si>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</si>
  <si>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</si>
  <si>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</si>
  <si>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</si>
  <si>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</si>
  <si>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</si>
  <si>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</si>
  <si>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</si>
  <si>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</si>
  <si>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</si>
  <si>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</si>
  <si>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</si>
  <si>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</si>
  <si>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</si>
  <si>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</si>
  <si>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</si>
  <si>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</si>
  <si>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</si>
  <si>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</si>
  <si>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</si>
  <si>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</si>
  <si>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</si>
  <si>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</si>
  <si>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</si>
  <si>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</si>
  <si>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</si>
  <si>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</si>
  <si>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</si>
  <si>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</si>
  <si>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</si>
  <si>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</si>
  <si>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</si>
  <si>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</si>
  <si>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</si>
  <si>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</si>
  <si>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</si>
  <si>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</si>
  <si>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</si>
  <si>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</si>
  <si>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</si>
  <si>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</si>
  <si>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</si>
  <si>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</si>
  <si>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</si>
  <si>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</si>
  <si>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</si>
  <si>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</si>
  <si>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</si>
  <si>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</si>
  <si>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</si>
  <si>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</si>
  <si>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</si>
  <si>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</si>
  <si>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</si>
  <si>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</si>
  <si>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</si>
  <si>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</si>
  <si>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</si>
  <si>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</si>
  <si>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</si>
  <si>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</si>
  <si>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</si>
  <si>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</si>
  <si>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</si>
  <si>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</si>
  <si>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</si>
  <si>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</si>
  <si>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</si>
  <si>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</si>
  <si>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</si>
  <si>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</si>
  <si>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</si>
  <si>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</si>
  <si>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</si>
  <si>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</si>
  <si>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</si>
  <si>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</si>
  <si>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</si>
  <si>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</si>
  <si>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</si>
  <si>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</si>
  <si>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</si>
  <si>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</si>
  <si>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</si>
  <si>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</si>
  <si>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</si>
  <si>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</si>
  <si>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</si>
  <si>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</si>
  <si>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</si>
  <si>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</si>
  <si>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</si>
  <si>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</si>
  <si>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</si>
  <si>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</si>
  <si>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</si>
  <si>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</si>
  <si>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</si>
  <si>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</si>
  <si>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</si>
  <si>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</si>
  <si>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</si>
  <si>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</si>
  <si>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</si>
  <si>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</si>
  <si>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</si>
  <si>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</si>
  <si>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</si>
  <si>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</si>
  <si>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</si>
  <si>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</si>
  <si>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</si>
  <si>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</si>
  <si>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</si>
  <si>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</si>
  <si>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</si>
  <si>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</si>
  <si>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</si>
  <si>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</si>
  <si>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</si>
  <si>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</si>
  <si>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</si>
  <si>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</si>
  <si>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</si>
  <si>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</si>
  <si>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</si>
  <si>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</si>
  <si>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</si>
  <si>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</si>
  <si>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</si>
  <si>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</si>
  <si>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</si>
  <si>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</si>
  <si>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</si>
  <si>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</si>
  <si>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</si>
  <si>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</si>
  <si>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</si>
  <si>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</si>
  <si>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</si>
  <si>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</si>
  <si>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</si>
  <si>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</si>
  <si>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</si>
  <si>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</si>
  <si>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</si>
  <si>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</si>
  <si>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</si>
  <si>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</si>
  <si>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</si>
  <si>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</si>
  <si>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</si>
  <si>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</si>
  <si>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</si>
  <si>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</si>
  <si>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</si>
  <si>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</si>
  <si>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</si>
  <si>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</si>
  <si>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</si>
  <si>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</si>
  <si>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</si>
  <si>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</si>
  <si>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</si>
  <si>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</si>
  <si>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</si>
  <si>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</si>
  <si>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</si>
  <si>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</si>
  <si>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</si>
  <si>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</si>
  <si>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</si>
  <si>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</si>
  <si>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</si>
  <si>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</si>
  <si>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</si>
  <si>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</si>
  <si>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</si>
  <si>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</si>
  <si>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</si>
  <si>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</si>
  <si>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</si>
  <si>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</si>
  <si>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</si>
  <si>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</si>
  <si>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</si>
  <si>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</si>
  <si>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</si>
  <si>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</si>
  <si>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</si>
  <si>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</si>
  <si>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</si>
  <si>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</si>
  <si>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</si>
  <si>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</si>
  <si>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</si>
  <si>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</si>
  <si>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</si>
  <si>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</si>
  <si>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</si>
  <si>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</si>
  <si>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</si>
  <si>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</si>
  <si>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</si>
  <si>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</si>
  <si>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</si>
  <si>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</si>
  <si>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</si>
  <si>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</si>
  <si>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</si>
  <si>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</si>
  <si>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</si>
  <si>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</si>
  <si>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</si>
  <si>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</si>
  <si>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</si>
  <si>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</si>
  <si>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</si>
  <si>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</si>
  <si>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</si>
  <si>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</si>
  <si>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</si>
  <si>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</si>
  <si>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</si>
  <si>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</si>
  <si>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</si>
  <si>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</si>
  <si>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</si>
  <si>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</si>
  <si>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</si>
  <si>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</si>
  <si>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</si>
  <si>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</si>
  <si>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</si>
  <si>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</si>
  <si>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</si>
  <si>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</si>
  <si>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</si>
  <si>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</si>
  <si>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</si>
  <si>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</si>
  <si>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</si>
  <si>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</si>
  <si>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</si>
  <si>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</si>
  <si>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</si>
  <si>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</si>
  <si>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</si>
  <si>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</si>
  <si>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</si>
  <si>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</si>
  <si>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</si>
  <si>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</si>
  <si>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</si>
  <si>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</si>
  <si>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</si>
  <si>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</si>
  <si>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</si>
  <si>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</si>
  <si>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</si>
  <si>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</si>
  <si>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</si>
  <si>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</si>
  <si>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</si>
  <si>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</si>
  <si>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</si>
  <si>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</si>
  <si>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</si>
  <si>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</si>
  <si>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</si>
  <si>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</si>
  <si>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</si>
  <si>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</si>
  <si>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</si>
  <si>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</si>
  <si>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</si>
  <si>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</si>
  <si>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</si>
  <si>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</si>
  <si>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</si>
  <si>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</si>
  <si>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</si>
  <si>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</si>
  <si>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</si>
  <si>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</si>
  <si>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</si>
  <si>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</si>
  <si>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</si>
  <si>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</si>
  <si>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</si>
  <si>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</si>
  <si>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</si>
  <si>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</si>
  <si>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</si>
  <si>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</si>
  <si>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</si>
  <si>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</si>
  <si>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</si>
  <si>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</si>
  <si>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</si>
  <si>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</si>
  <si>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</si>
  <si>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</si>
  <si>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</si>
  <si>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</si>
  <si>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</si>
  <si>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</si>
  <si>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</si>
  <si>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</si>
  <si>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</si>
  <si>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</si>
  <si>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</si>
  <si>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</si>
  <si>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</si>
  <si>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</si>
  <si>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</si>
  <si>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</si>
  <si>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</si>
  <si>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</si>
  <si>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</si>
  <si>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</si>
  <si>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</si>
  <si>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</si>
  <si>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</si>
  <si>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</si>
  <si>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</si>
  <si>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</si>
  <si>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</si>
  <si>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</si>
  <si>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</si>
  <si>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</si>
  <si>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</si>
  <si>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</si>
  <si>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</si>
  <si>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</si>
  <si>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</si>
  <si>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</si>
  <si>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</si>
  <si>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</si>
  <si>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</si>
  <si>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</si>
  <si>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</si>
  <si>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</si>
  <si>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</si>
  <si>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</si>
  <si>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</si>
  <si>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</si>
  <si>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</si>
  <si>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</si>
  <si>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</si>
  <si>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</si>
  <si>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</si>
  <si>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</si>
  <si>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</si>
  <si>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</si>
  <si>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</si>
  <si>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</si>
  <si>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</si>
  <si>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</si>
  <si>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</si>
  <si>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</si>
  <si>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</si>
  <si>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</si>
  <si>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</si>
  <si>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</si>
  <si>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</si>
  <si>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</si>
  <si>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</si>
  <si>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</si>
  <si>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</si>
  <si>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</si>
  <si>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</si>
  <si>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</si>
  <si>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</si>
  <si>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</si>
  <si>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</si>
  <si>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</si>
  <si>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</si>
  <si>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</si>
  <si>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</si>
  <si>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</si>
  <si>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</si>
  <si>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</si>
  <si>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</si>
  <si>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</si>
  <si>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</si>
  <si>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</si>
  <si>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</si>
  <si>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</si>
  <si>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</si>
  <si>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</si>
  <si>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</si>
  <si>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</si>
  <si>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</si>
  <si>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</si>
  <si>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</si>
  <si>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</si>
  <si>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</si>
  <si>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</si>
  <si>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</si>
  <si>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</si>
  <si>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</si>
  <si>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</si>
  <si>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</si>
  <si>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</si>
  <si>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</si>
  <si>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</si>
  <si>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</si>
  <si>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</si>
  <si>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</si>
  <si>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</si>
  <si>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</si>
  <si>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</si>
  <si>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</si>
  <si>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</si>
  <si>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</si>
  <si>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</si>
  <si>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</si>
  <si>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</si>
  <si>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</si>
  <si>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</si>
  <si>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</si>
  <si>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</si>
  <si>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</si>
  <si>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</si>
  <si>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</si>
  <si>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</si>
  <si>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</si>
  <si>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</si>
  <si>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</si>
  <si>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</si>
  <si>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</si>
  <si>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</si>
  <si>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</si>
  <si>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</si>
  <si>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</si>
  <si>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</si>
  <si>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</si>
  <si>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</si>
  <si>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</si>
  <si>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</si>
  <si>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</si>
  <si>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</si>
  <si>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</si>
  <si>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</si>
  <si>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</si>
  <si>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</si>
  <si>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</si>
  <si>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</si>
  <si>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</si>
  <si>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</si>
  <si>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</si>
  <si>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</si>
  <si>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</si>
  <si>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</si>
  <si>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</si>
  <si>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</si>
  <si>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</si>
  <si>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</si>
  <si>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</si>
  <si>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</si>
  <si>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</si>
  <si>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</si>
  <si>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</si>
  <si>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</si>
  <si>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</si>
  <si>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</si>
  <si>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</si>
  <si>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</si>
  <si>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</si>
  <si>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</si>
  <si>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</si>
  <si>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</si>
  <si>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</si>
  <si>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</si>
  <si>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</si>
  <si>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</si>
  <si>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</si>
  <si>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</si>
  <si>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</si>
  <si>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</si>
  <si>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</si>
  <si>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</si>
  <si>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</si>
  <si>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</si>
  <si>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</si>
  <si>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</si>
  <si>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</si>
  <si>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</si>
  <si>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</si>
  <si>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</si>
  <si>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</si>
  <si>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</si>
  <si>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</si>
  <si>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</si>
  <si>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</si>
  <si>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</si>
  <si>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</si>
  <si>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</si>
  <si>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</si>
  <si>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</si>
  <si>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</si>
  <si>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</si>
  <si>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</si>
  <si>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</si>
  <si>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</si>
  <si>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</si>
  <si>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</si>
  <si>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</si>
  <si>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</si>
  <si>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</si>
  <si>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</si>
  <si>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</si>
  <si>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</si>
  <si>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</si>
  <si>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</si>
  <si>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</si>
  <si>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</si>
  <si>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</si>
  <si>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</si>
  <si>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</si>
  <si>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</si>
  <si>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</si>
  <si>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</si>
  <si>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</si>
  <si>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</si>
  <si>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</si>
  <si>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</si>
  <si>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</si>
  <si>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</si>
  <si>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</si>
  <si>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</si>
  <si>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</si>
  <si>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</si>
  <si>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</si>
  <si>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</si>
  <si>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</si>
  <si>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</si>
  <si>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</si>
  <si>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</si>
  <si>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</si>
  <si>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</si>
  <si>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</si>
  <si>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</si>
  <si>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</si>
  <si>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</si>
  <si>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</si>
  <si>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</si>
  <si>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</si>
  <si>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</si>
  <si>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</si>
  <si>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</si>
  <si>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</si>
  <si>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</si>
  <si>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</si>
  <si>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</si>
  <si>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</si>
  <si>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</si>
  <si>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</si>
  <si>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</si>
  <si>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</si>
  <si>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</si>
  <si>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</si>
  <si>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</si>
  <si>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</si>
  <si>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</si>
  <si>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</si>
  <si>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</si>
  <si>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</si>
  <si>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</si>
  <si>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</si>
  <si>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</si>
  <si>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</si>
  <si>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</si>
  <si>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</si>
  <si>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</si>
  <si>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</si>
  <si>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</si>
  <si>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</si>
  <si>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</si>
  <si>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</si>
  <si>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</si>
  <si>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</si>
  <si>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</si>
  <si>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</si>
  <si>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</si>
  <si>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</si>
  <si>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</si>
  <si>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</si>
  <si>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</si>
  <si>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</si>
  <si>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</si>
  <si>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</si>
  <si>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</si>
  <si>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</si>
  <si>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</si>
  <si>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</si>
  <si>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</si>
  <si>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</si>
  <si>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</si>
  <si>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</si>
  <si>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</si>
  <si>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</si>
  <si>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</si>
  <si>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</si>
  <si>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</si>
  <si>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</si>
  <si>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</si>
  <si>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</si>
  <si>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</si>
  <si>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</si>
  <si>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</si>
  <si>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</si>
  <si>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</si>
  <si>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</si>
  <si>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</si>
  <si>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</si>
  <si>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</si>
  <si>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</si>
  <si>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</si>
  <si>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</si>
  <si>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</si>
  <si>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</si>
  <si>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</si>
  <si>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</si>
  <si>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</si>
  <si>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</si>
  <si>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</si>
  <si>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</si>
  <si>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</si>
  <si>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</si>
  <si>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</si>
  <si>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</si>
  <si>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</si>
  <si>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</si>
  <si>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</si>
  <si>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</si>
  <si>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</si>
  <si>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</si>
  <si>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</si>
  <si>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</si>
  <si>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</si>
  <si>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</si>
  <si>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</si>
  <si>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</si>
  <si>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</si>
  <si>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</si>
  <si>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</si>
  <si>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</si>
  <si>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</si>
  <si>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</si>
  <si>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</si>
  <si>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</si>
  <si>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</si>
  <si>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</si>
  <si>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</si>
  <si>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</si>
  <si>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</si>
  <si>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</si>
  <si>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</si>
  <si>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</si>
  <si>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</si>
  <si>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</si>
  <si>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</si>
  <si>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</si>
  <si>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</si>
  <si>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</si>
  <si>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</si>
  <si>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</si>
  <si>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</si>
  <si>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</si>
  <si>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</si>
  <si>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</si>
  <si>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</si>
  <si>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</si>
  <si>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</si>
  <si>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</si>
  <si>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</si>
  <si>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</si>
  <si>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</si>
  <si>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</si>
  <si>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</si>
  <si>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</si>
  <si>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</si>
  <si>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</si>
  <si>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</si>
  <si>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</si>
  <si>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</si>
  <si>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</si>
  <si>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</si>
  <si>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</si>
  <si>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</si>
  <si>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</si>
  <si>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</si>
  <si>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</si>
  <si>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</si>
  <si>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</si>
  <si>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</si>
  <si>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</si>
  <si>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</si>
  <si>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</si>
  <si>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</si>
  <si>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</si>
  <si>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</si>
  <si>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</si>
  <si>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</si>
  <si>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</si>
  <si>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</si>
  <si>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</si>
  <si>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</si>
  <si>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</si>
  <si>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</si>
  <si>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</si>
  <si>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</si>
  <si>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</si>
  <si>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</si>
  <si>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</si>
  <si>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</si>
  <si>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</si>
  <si>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</si>
  <si>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</si>
  <si>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</si>
  <si>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</si>
  <si>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</si>
  <si>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</si>
  <si>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</si>
  <si>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</si>
  <si>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</si>
  <si>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</si>
  <si>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</si>
  <si>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</si>
  <si>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</si>
  <si>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</si>
  <si>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</si>
  <si>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</si>
  <si>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</si>
  <si>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</si>
  <si>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</si>
  <si>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</si>
  <si>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</si>
  <si>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</si>
  <si>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</si>
  <si>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</si>
  <si>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</si>
  <si>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</si>
  <si>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</si>
  <si>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</si>
  <si>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</si>
  <si>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</si>
  <si>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</si>
  <si>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</si>
  <si>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</si>
  <si>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</si>
  <si>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</si>
  <si>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</si>
  <si>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</si>
  <si>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</si>
  <si>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</si>
  <si>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</si>
  <si>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</si>
  <si>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</si>
  <si>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</si>
  <si>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</si>
  <si>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</si>
  <si>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</si>
  <si>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</si>
  <si>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</si>
  <si>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</si>
  <si>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</si>
  <si>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</si>
  <si>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</si>
  <si>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</si>
  <si>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</si>
  <si>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</si>
  <si>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</si>
  <si>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</si>
  <si>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</si>
  <si>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</si>
  <si>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</si>
  <si>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</si>
  <si>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</si>
  <si>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</si>
  <si>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</si>
  <si>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</si>
  <si>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</si>
  <si>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</si>
  <si>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</si>
  <si>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</si>
  <si>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</si>
  <si>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</si>
  <si>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</si>
  <si>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</si>
  <si>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</si>
  <si>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</si>
  <si>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</si>
  <si>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</si>
  <si>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</si>
  <si>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</si>
  <si>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</si>
  <si>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</si>
  <si>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</si>
  <si>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</si>
  <si>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</si>
  <si>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</si>
  <si>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</si>
  <si>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</si>
  <si>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</si>
  <si>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</si>
  <si>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</si>
  <si>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</si>
  <si>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</si>
  <si>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</si>
  <si>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</si>
  <si>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</si>
  <si>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</si>
  <si>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</si>
  <si>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</si>
  <si>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</si>
  <si>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</si>
  <si>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</si>
  <si>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</si>
  <si>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</si>
  <si>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</si>
  <si>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</si>
  <si>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</si>
  <si>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</si>
  <si>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</si>
  <si>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</si>
  <si>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</si>
  <si>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</si>
  <si>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</si>
  <si>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</si>
  <si>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</si>
  <si>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</si>
  <si>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</si>
  <si>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</si>
  <si>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</si>
  <si>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</si>
  <si>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</si>
  <si>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</si>
  <si>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</si>
  <si>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</si>
  <si>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</si>
  <si>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</si>
  <si>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</si>
  <si>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</si>
  <si>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</si>
  <si>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</si>
  <si>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</si>
  <si>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</si>
  <si>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</si>
  <si>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</si>
  <si>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</si>
  <si>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</si>
  <si>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</si>
  <si>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</si>
  <si>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</si>
  <si>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</si>
  <si>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</si>
  <si>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</si>
  <si>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</si>
  <si>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</si>
  <si>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</si>
  <si>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</si>
  <si>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</si>
  <si>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</si>
  <si>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</si>
  <si>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</si>
  <si>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</si>
  <si>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</si>
  <si>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</si>
  <si>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</si>
  <si>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</si>
  <si>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</si>
  <si>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</si>
  <si>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</si>
  <si>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</si>
  <si>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</si>
  <si>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</si>
  <si>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</si>
  <si>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</si>
  <si>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</si>
  <si>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</si>
  <si>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</si>
  <si>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</si>
  <si>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</si>
  <si>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</si>
  <si>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</si>
  <si>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</si>
  <si>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</si>
  <si>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</si>
  <si>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</si>
  <si>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</si>
  <si>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</si>
  <si>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</si>
  <si>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</si>
  <si>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</si>
  <si>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</si>
  <si>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</si>
  <si>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</si>
  <si>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</si>
  <si>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</si>
  <si>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</si>
  <si>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</si>
  <si>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</si>
  <si>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</si>
  <si>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</si>
  <si>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</si>
  <si>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</si>
  <si>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</si>
  <si>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</si>
  <si>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</si>
  <si>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</si>
  <si>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</si>
  <si>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</si>
  <si>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</si>
  <si>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</si>
  <si>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</si>
  <si>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</si>
  <si>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</si>
  <si>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</si>
  <si>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</si>
  <si>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</si>
  <si>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</si>
  <si>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</si>
  <si>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</si>
  <si>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</si>
  <si>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</si>
  <si>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</si>
  <si>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</si>
  <si>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</si>
  <si>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</si>
  <si>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</si>
  <si>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</si>
  <si>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</si>
  <si>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</si>
  <si>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</si>
  <si>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</si>
  <si>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</si>
  <si>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</si>
  <si>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</si>
  <si>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</si>
  <si>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</si>
  <si>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</si>
  <si>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</si>
  <si>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</si>
  <si>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</si>
  <si>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</si>
  <si>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</si>
  <si>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</si>
  <si>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</si>
  <si>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</si>
  <si>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</si>
  <si>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</si>
  <si>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</si>
  <si>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</si>
  <si>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</si>
  <si>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</si>
  <si>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</si>
  <si>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</si>
  <si>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</si>
  <si>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</si>
  <si>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</si>
  <si>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</si>
  <si>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</si>
  <si>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</si>
  <si>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</si>
  <si>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</si>
  <si>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</si>
  <si>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</si>
  <si>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</si>
  <si>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</si>
  <si>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</si>
  <si>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</si>
  <si>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</si>
  <si>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</si>
  <si>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</si>
  <si>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</si>
  <si>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</si>
  <si>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</si>
  <si>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</si>
  <si>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</si>
  <si>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</si>
  <si>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</si>
  <si>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</si>
  <si>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</si>
  <si>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</si>
  <si>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</si>
  <si>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</si>
  <si>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</si>
  <si>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</si>
  <si>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</si>
  <si>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</si>
  <si>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</si>
  <si>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</si>
  <si>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</si>
  <si>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</si>
  <si>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</si>
  <si>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</si>
  <si>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</si>
  <si>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</si>
  <si>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</si>
  <si>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</si>
  <si>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</si>
  <si>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</si>
  <si>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</si>
  <si>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</si>
  <si>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</si>
  <si>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</si>
  <si>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</si>
  <si>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</si>
  <si>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</si>
  <si>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</si>
  <si>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</si>
  <si>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</si>
  <si>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</si>
  <si>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</si>
  <si>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</si>
  <si>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</si>
  <si>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</si>
  <si>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</si>
  <si>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</si>
  <si>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</si>
  <si>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</si>
  <si>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</si>
  <si>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</si>
  <si>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</si>
  <si>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</si>
  <si>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</si>
  <si>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</si>
  <si>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</si>
  <si>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</si>
  <si>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</si>
  <si>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</si>
  <si>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</si>
  <si>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</si>
  <si>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</si>
  <si>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</si>
  <si>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</si>
  <si>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</si>
  <si>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</si>
  <si>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</si>
  <si>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</si>
  <si>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</si>
  <si>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</si>
  <si>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</si>
  <si>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</si>
  <si>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</si>
  <si>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</si>
  <si>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</si>
  <si>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</si>
  <si>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</si>
  <si>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</si>
  <si>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</si>
  <si>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</si>
  <si>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</si>
  <si>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</si>
  <si>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</si>
  <si>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</si>
  <si>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</si>
  <si>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</si>
  <si>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</si>
  <si>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</si>
  <si>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</si>
  <si>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</si>
  <si>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</si>
  <si>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</si>
  <si>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</si>
  <si>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</si>
  <si>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</si>
  <si>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</si>
  <si>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</si>
  <si>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</si>
  <si>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</si>
  <si>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</si>
  <si>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</si>
  <si>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</si>
  <si>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</si>
  <si>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</si>
  <si>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</si>
  <si>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</si>
  <si>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</si>
  <si>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</si>
  <si>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</si>
  <si>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</si>
  <si>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</si>
  <si>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</si>
  <si>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</si>
  <si>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</si>
  <si>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</si>
  <si>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</si>
  <si>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</si>
  <si>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</si>
  <si>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</si>
  <si>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</si>
  <si>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</si>
  <si>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</si>
  <si>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</si>
  <si>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</si>
  <si>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</si>
  <si>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</si>
  <si>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</si>
  <si>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</si>
  <si>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</si>
  <si>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</si>
  <si>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</si>
  <si>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</si>
  <si>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</si>
  <si>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</si>
  <si>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</si>
  <si>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</si>
  <si>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</si>
  <si>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</si>
  <si>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</si>
  <si>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</si>
  <si>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</si>
  <si>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</si>
  <si>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</si>
  <si>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</si>
  <si>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</si>
  <si>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</si>
  <si>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</si>
  <si>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</si>
  <si>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</si>
  <si>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</si>
  <si>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</si>
  <si>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</si>
  <si>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</si>
  <si>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</si>
  <si>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</si>
  <si>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</si>
  <si>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</si>
  <si>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</si>
  <si>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</si>
  <si>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</si>
  <si>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</si>
  <si>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</si>
  <si>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</si>
  <si>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</si>
  <si>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</si>
  <si>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</si>
  <si>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</si>
  <si>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</si>
  <si>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</si>
  <si>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</si>
  <si>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</si>
  <si>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</si>
  <si>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</si>
  <si>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</si>
  <si>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</si>
  <si>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</si>
  <si>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</si>
  <si>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</si>
  <si>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</si>
  <si>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</si>
  <si>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</si>
  <si>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</si>
  <si>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</si>
  <si>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</si>
  <si>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</si>
  <si>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</si>
  <si>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</si>
  <si>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</si>
  <si>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</si>
  <si>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</si>
  <si>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</si>
  <si>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</si>
  <si>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</si>
  <si>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</si>
  <si>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</si>
  <si>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</si>
  <si>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</si>
  <si>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</si>
  <si>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</si>
  <si>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</si>
  <si>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</si>
  <si>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</si>
  <si>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</si>
  <si>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</si>
  <si>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</si>
  <si>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</si>
  <si>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</si>
  <si>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</si>
  <si>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</si>
  <si>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</si>
  <si>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</si>
  <si>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</si>
  <si>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</si>
  <si>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</si>
  <si>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</si>
  <si>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</si>
  <si>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</si>
  <si>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</si>
  <si>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</si>
  <si>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</si>
  <si>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</si>
  <si>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</si>
  <si>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</si>
  <si>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</si>
  <si>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</si>
  <si>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</si>
  <si>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</si>
  <si>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</si>
  <si>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</si>
  <si>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</si>
  <si>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</si>
  <si>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</si>
  <si>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</si>
  <si>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</si>
  <si>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</si>
  <si>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</si>
  <si>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</si>
  <si>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</si>
  <si>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</si>
  <si>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</si>
  <si>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</si>
  <si>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</si>
  <si>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</si>
  <si>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</si>
  <si>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</si>
  <si>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</si>
  <si>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</si>
  <si>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</si>
  <si>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</si>
  <si>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</si>
  <si>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</si>
  <si>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</si>
  <si>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</si>
  <si>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</si>
  <si>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</si>
  <si>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</si>
  <si>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</si>
  <si>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</si>
  <si>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</si>
  <si>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</si>
  <si>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</si>
  <si>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</si>
  <si>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</si>
  <si>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</si>
  <si>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</si>
  <si>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</si>
  <si>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</si>
  <si>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</si>
  <si>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</si>
  <si>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</si>
  <si>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</si>
  <si>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</si>
  <si>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</si>
  <si>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</si>
  <si>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</si>
  <si>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</si>
  <si>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</si>
  <si>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</si>
  <si>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</si>
  <si>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</si>
  <si>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</si>
  <si>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</si>
  <si>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</si>
  <si>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</si>
  <si>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</si>
  <si>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</si>
  <si>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</si>
  <si>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</si>
  <si>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</si>
  <si>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</si>
  <si>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</si>
  <si>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</si>
  <si>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</si>
  <si>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</si>
  <si>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</si>
  <si>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</si>
  <si>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</si>
  <si>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</si>
  <si>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</si>
  <si>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</si>
  <si>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</si>
  <si>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</si>
  <si>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</si>
  <si>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</si>
  <si>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</si>
  <si>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</si>
  <si>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</si>
  <si>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</si>
  <si>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</si>
  <si>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</si>
  <si>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</si>
  <si>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</si>
  <si>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</si>
  <si>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</si>
  <si>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</si>
  <si>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</si>
  <si>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</si>
  <si>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</si>
  <si>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</si>
  <si>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</si>
  <si>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</si>
  <si>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</si>
  <si>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</si>
  <si>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</si>
  <si>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</si>
  <si>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</si>
  <si>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</si>
  <si>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</si>
  <si>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</si>
  <si>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</si>
  <si>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</si>
  <si>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</si>
  <si>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</si>
  <si>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</si>
  <si>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</si>
  <si>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</si>
  <si>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</si>
  <si>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</si>
  <si>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</si>
  <si>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</si>
  <si>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</si>
  <si>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</si>
  <si>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</si>
  <si>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</si>
  <si>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</si>
  <si>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</si>
  <si>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</si>
  <si>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</si>
  <si>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</si>
  <si>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</si>
  <si>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</si>
  <si>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</si>
  <si>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</si>
  <si>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</si>
  <si>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</si>
  <si>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</si>
  <si>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</si>
  <si>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</si>
  <si>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</si>
  <si>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</si>
  <si>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</si>
  <si>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</si>
  <si>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</si>
  <si>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</si>
  <si>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</si>
  <si>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</si>
  <si>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</si>
  <si>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</si>
  <si>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</si>
  <si>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</si>
  <si>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</si>
  <si>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</si>
  <si>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</si>
  <si>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</si>
  <si>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</si>
  <si>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</si>
  <si>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</si>
  <si>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</si>
  <si>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</si>
  <si>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</si>
  <si>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</si>
  <si>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</si>
  <si>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</si>
  <si>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</si>
  <si>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</si>
  <si>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</si>
  <si>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</si>
  <si>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</si>
  <si>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</si>
  <si>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</si>
  <si>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</si>
  <si>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</si>
  <si>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</si>
  <si>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</si>
  <si>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</si>
  <si>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</si>
  <si>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</si>
  <si>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</si>
  <si>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</si>
  <si>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</si>
  <si>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</si>
  <si>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</si>
  <si>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</si>
  <si>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</si>
  <si>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</si>
  <si>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</si>
  <si>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</si>
  <si>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</si>
  <si>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</si>
  <si>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</si>
  <si>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</si>
  <si>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</si>
  <si>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</si>
  <si>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</si>
  <si>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</si>
  <si>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</si>
  <si>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</si>
  <si>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</si>
  <si>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</si>
  <si>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</si>
  <si>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</si>
  <si>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</si>
  <si>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</si>
  <si>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</si>
  <si>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</si>
  <si>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</si>
  <si>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</si>
  <si>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</si>
  <si>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</si>
  <si>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</si>
  <si>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</si>
  <si>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</si>
  <si>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</si>
  <si>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</si>
  <si>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</si>
  <si>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</si>
  <si>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</si>
  <si>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</si>
  <si>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</si>
  <si>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</si>
  <si>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</si>
  <si>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</si>
  <si>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</si>
  <si>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</si>
  <si>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</si>
  <si>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</si>
  <si>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</si>
  <si>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</si>
  <si>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</si>
  <si>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</si>
  <si>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</si>
  <si>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</si>
  <si>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</si>
  <si>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</si>
  <si>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</si>
  <si>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</si>
  <si>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</si>
  <si>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</si>
  <si>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</si>
  <si>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</si>
  <si>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</si>
  <si>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</si>
  <si>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</si>
  <si>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</si>
  <si>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</si>
  <si>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</si>
  <si>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</si>
  <si>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</si>
  <si>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</si>
  <si>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</si>
  <si>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</si>
  <si>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</si>
  <si>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</si>
  <si>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</si>
  <si>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</si>
  <si>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</si>
  <si>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</si>
  <si>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</si>
  <si>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</si>
  <si>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</si>
  <si>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</si>
  <si>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</si>
  <si>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</si>
  <si>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</si>
  <si>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</si>
  <si>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</si>
  <si>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</si>
  <si>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</si>
  <si>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</si>
  <si>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</si>
  <si>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</si>
  <si>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</si>
  <si>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</si>
  <si>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</si>
  <si>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</si>
  <si>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</si>
  <si>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</si>
  <si>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</si>
  <si>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</si>
  <si>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</si>
  <si>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</si>
  <si>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</si>
  <si>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</si>
  <si>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</si>
  <si>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</si>
  <si>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</si>
  <si>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</si>
  <si>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</si>
  <si>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</si>
  <si>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</si>
  <si>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</si>
  <si>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</si>
  <si>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</si>
  <si>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</si>
  <si>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</si>
  <si>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</si>
  <si>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</si>
  <si>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</si>
  <si>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</si>
  <si>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</si>
  <si>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</si>
  <si>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</si>
  <si>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</si>
  <si>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</si>
  <si>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</si>
  <si>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</si>
  <si>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</si>
  <si>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</si>
  <si>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</si>
  <si>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</si>
  <si>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</si>
  <si>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</si>
  <si>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</si>
  <si>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</si>
  <si>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</si>
  <si>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</si>
  <si>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</si>
  <si>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</si>
  <si>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</si>
  <si>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</si>
  <si>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</si>
  <si>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</si>
  <si>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</si>
  <si>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</si>
  <si>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</si>
  <si>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</si>
  <si>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</si>
  <si>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</si>
  <si>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</si>
  <si>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</si>
  <si>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</si>
  <si>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</si>
  <si>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</si>
  <si>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</si>
  <si>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</si>
  <si>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</si>
  <si>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</si>
  <si>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</si>
  <si>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</si>
  <si>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</si>
  <si>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</si>
  <si>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</si>
  <si>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</si>
  <si>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</si>
  <si>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</si>
  <si>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</si>
  <si>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</si>
  <si>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</si>
  <si>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</si>
  <si>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</si>
  <si>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</si>
  <si>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</si>
  <si>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</si>
  <si>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</si>
  <si>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</si>
  <si>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</si>
  <si>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</si>
  <si>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</si>
  <si>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</si>
  <si>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</si>
  <si>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</si>
  <si>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</si>
  <si>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</si>
  <si>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</si>
  <si>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</si>
  <si>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</si>
  <si>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</si>
  <si>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</si>
  <si>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</si>
  <si>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</si>
  <si>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</si>
  <si>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</si>
  <si>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</si>
  <si>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</si>
  <si>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</si>
  <si>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</si>
  <si>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</si>
  <si>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</si>
  <si>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</si>
  <si>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</si>
  <si>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</si>
  <si>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</si>
  <si>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</si>
  <si>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</si>
  <si>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</si>
  <si>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</si>
  <si>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</si>
  <si>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</si>
  <si>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</si>
  <si>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</si>
  <si>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</si>
  <si>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</si>
  <si>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</si>
  <si>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</si>
  <si>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</si>
  <si>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</si>
  <si>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</si>
  <si>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</si>
  <si>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</si>
  <si>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</si>
  <si>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</si>
  <si>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</si>
  <si>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</si>
  <si>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</si>
  <si>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</si>
  <si>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</si>
  <si>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</si>
  <si>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</si>
  <si>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</si>
  <si>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</si>
  <si>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</si>
  <si>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</si>
  <si>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</si>
  <si>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</si>
  <si>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</si>
  <si>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</si>
  <si>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</si>
  <si>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</si>
  <si>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</si>
  <si>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</si>
  <si>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</si>
  <si>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</si>
  <si>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</si>
  <si>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</si>
  <si>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</si>
  <si>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</si>
  <si>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</si>
  <si>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</si>
  <si>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</si>
  <si>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</si>
  <si>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</si>
  <si>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</si>
  <si>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</si>
  <si>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</si>
  <si>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</si>
  <si>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</si>
  <si>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</si>
  <si>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</si>
  <si>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</si>
  <si>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</si>
  <si>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</si>
  <si>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</si>
  <si>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</si>
  <si>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</si>
  <si>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</si>
  <si>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</si>
  <si>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</si>
  <si>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</si>
  <si>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</si>
  <si>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</si>
  <si>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</si>
  <si>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</si>
  <si>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</si>
  <si>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</si>
  <si>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</si>
  <si>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</si>
  <si>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</si>
  <si>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</si>
  <si>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</si>
  <si>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</si>
  <si>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</si>
  <si>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</si>
  <si>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</si>
  <si>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</si>
  <si>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</si>
  <si>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</si>
  <si>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</si>
  <si>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</si>
  <si>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</si>
  <si>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</si>
  <si>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</si>
  <si>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</si>
  <si>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</si>
  <si>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</si>
  <si>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</si>
  <si>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</si>
  <si>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</si>
  <si>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</si>
  <si>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</si>
  <si>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</si>
  <si>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</si>
  <si>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</si>
  <si>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</si>
  <si>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</si>
  <si>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</si>
  <si>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</si>
  <si>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</si>
  <si>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</si>
  <si>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</si>
  <si>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</si>
  <si>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</si>
  <si>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</si>
  <si>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</si>
  <si>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</si>
  <si>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</si>
  <si>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</si>
  <si>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</si>
  <si>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</si>
  <si>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</si>
  <si>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</si>
  <si>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</si>
  <si>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</si>
  <si>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</si>
  <si>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</si>
  <si>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</si>
  <si>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</si>
  <si>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</si>
  <si>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</si>
  <si>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</si>
  <si>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</si>
  <si>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</si>
  <si>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</si>
  <si>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</si>
  <si>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</si>
  <si>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</si>
  <si>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</si>
  <si>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</si>
  <si>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</si>
  <si>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</si>
  <si>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</si>
  <si>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</si>
  <si>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</si>
  <si>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</si>
  <si>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</si>
  <si>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</si>
  <si>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</si>
  <si>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</si>
  <si>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</si>
  <si>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</si>
  <si>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</si>
  <si>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</si>
  <si>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</si>
  <si>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</si>
  <si>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</si>
  <si>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</si>
  <si>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</si>
  <si>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</si>
  <si>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</si>
  <si>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</si>
  <si>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</si>
  <si>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</si>
  <si>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</si>
  <si>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</si>
  <si>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</si>
  <si>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</si>
  <si>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</si>
  <si>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</si>
  <si>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</si>
  <si>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</si>
  <si>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</si>
  <si>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</si>
  <si>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</si>
  <si>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</si>
  <si>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</si>
  <si>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</si>
  <si>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</si>
  <si>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</si>
  <si>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</si>
  <si>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</si>
  <si>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</si>
  <si>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</si>
  <si>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</si>
  <si>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</si>
  <si>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</si>
  <si>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</si>
  <si>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</si>
  <si>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</si>
  <si>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</si>
  <si>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</si>
  <si>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</si>
  <si>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</si>
  <si>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</si>
  <si>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</si>
  <si>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</si>
  <si>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</si>
  <si>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</si>
  <si>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</si>
  <si>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</si>
  <si>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</si>
  <si>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</si>
  <si>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</si>
  <si>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</si>
  <si>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</si>
  <si>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</si>
  <si>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</si>
  <si>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</si>
  <si>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</si>
  <si>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</si>
  <si>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</si>
  <si>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</si>
  <si>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</si>
  <si>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</si>
  <si>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</si>
  <si>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</si>
  <si>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</si>
  <si>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</si>
  <si>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</si>
  <si>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</si>
  <si>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</si>
  <si>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</si>
  <si>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</si>
  <si>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</si>
  <si>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</si>
  <si>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</si>
  <si>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</si>
  <si>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</si>
  <si>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</si>
  <si>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</si>
  <si>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</si>
  <si>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</si>
  <si>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</si>
  <si>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</si>
  <si>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</si>
  <si>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</si>
  <si>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</si>
  <si>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</si>
  <si>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</si>
  <si>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</si>
  <si>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</si>
  <si>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</si>
  <si>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</si>
  <si>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</si>
  <si>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</si>
  <si>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</si>
  <si>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</si>
  <si>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</si>
  <si>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</si>
  <si>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</si>
  <si>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</si>
  <si>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</si>
  <si>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</si>
  <si>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</si>
  <si>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</si>
  <si>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</si>
  <si>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</si>
  <si>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</si>
  <si>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</si>
  <si>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</si>
  <si>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</si>
  <si>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</si>
  <si>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</si>
  <si>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</si>
  <si>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</si>
  <si>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</si>
  <si>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</si>
  <si>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</si>
  <si>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</si>
  <si>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</si>
  <si>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</si>
  <si>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</si>
  <si>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</si>
  <si>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</si>
  <si>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</si>
  <si>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</si>
  <si>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</si>
  <si>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</si>
  <si>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</si>
  <si>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</si>
  <si>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</si>
  <si>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</si>
  <si>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</si>
  <si>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</si>
  <si>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</si>
  <si>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</si>
  <si>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</si>
  <si>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</si>
  <si>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</si>
  <si>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</si>
  <si>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</si>
  <si>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</si>
  <si>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</si>
  <si>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</si>
  <si>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</si>
  <si>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</si>
  <si>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</si>
  <si>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</si>
  <si>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</si>
  <si>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</si>
  <si>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</si>
  <si>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</si>
  <si>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</si>
  <si>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</si>
  <si>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</si>
  <si>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</si>
  <si>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</si>
  <si>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</si>
  <si>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</si>
  <si>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</si>
  <si>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</si>
  <si>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</si>
  <si>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</si>
  <si>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</si>
  <si>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</si>
  <si>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</si>
  <si>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</si>
  <si>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</si>
  <si>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</si>
  <si>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</si>
  <si>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</si>
  <si>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</si>
  <si>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</si>
  <si>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</si>
  <si>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</si>
  <si>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</si>
  <si>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</si>
  <si>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</si>
  <si>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</si>
  <si>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</si>
  <si>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</si>
  <si>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</si>
  <si>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</si>
  <si>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</si>
  <si>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</si>
  <si>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</si>
  <si>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</si>
  <si>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</si>
  <si>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</si>
  <si>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</si>
  <si>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</si>
  <si>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</si>
  <si>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</si>
  <si>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</si>
  <si>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</si>
  <si>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</si>
  <si>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</si>
  <si>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</si>
  <si>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</si>
  <si>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</si>
  <si>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</si>
  <si>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</si>
  <si>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</si>
  <si>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</si>
  <si>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</si>
  <si>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</si>
  <si>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</si>
  <si>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</si>
  <si>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</si>
  <si>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</si>
  <si>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</si>
  <si>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</si>
  <si>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</si>
  <si>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</si>
  <si>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</si>
  <si>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</si>
  <si>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</si>
  <si>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</si>
  <si>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</si>
  <si>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</si>
  <si>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</si>
  <si>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</si>
  <si>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</si>
  <si>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</si>
  <si>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</si>
  <si>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</si>
  <si>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</si>
  <si>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</si>
  <si>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</si>
  <si>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</si>
  <si>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</si>
  <si>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</si>
  <si>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</si>
  <si>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</si>
  <si>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</si>
  <si>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</si>
  <si>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</si>
  <si>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</si>
  <si>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</si>
  <si>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</si>
  <si>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</si>
  <si>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</si>
  <si>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</si>
  <si>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</si>
  <si>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</si>
  <si>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</si>
  <si>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</si>
  <si>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</si>
  <si>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</si>
  <si>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</si>
  <si>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</si>
  <si>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</si>
  <si>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</si>
  <si>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</si>
  <si>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</si>
  <si>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</si>
  <si>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</si>
  <si>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</si>
  <si>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</si>
  <si>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</si>
  <si>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</si>
  <si>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</si>
  <si>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</si>
  <si>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</si>
  <si>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</si>
  <si>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</si>
  <si>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</si>
  <si>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</si>
  <si>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</si>
  <si>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</si>
  <si>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</si>
  <si>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</si>
  <si>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</si>
  <si>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</si>
  <si>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</si>
  <si>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</si>
  <si>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</si>
  <si>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</si>
  <si>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</si>
  <si>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</si>
  <si>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</si>
  <si>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</si>
  <si>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</si>
  <si>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</si>
  <si>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</si>
  <si>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</si>
  <si>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</si>
  <si>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</si>
  <si>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</si>
  <si>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</si>
  <si>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</si>
  <si>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</si>
  <si>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</si>
  <si>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</si>
  <si>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</si>
  <si>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</si>
  <si>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</si>
  <si>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</si>
  <si>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</si>
  <si>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</si>
  <si>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</si>
  <si>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</si>
  <si>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</si>
  <si>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</si>
  <si>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</si>
  <si>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</si>
  <si>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</si>
  <si>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</si>
  <si>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</si>
  <si>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</si>
  <si>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</si>
  <si>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</si>
  <si>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</si>
  <si>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</si>
  <si>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</si>
  <si>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</si>
  <si>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</si>
  <si>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</si>
  <si>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</si>
  <si>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</si>
  <si>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</si>
  <si>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</si>
  <si>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</si>
  <si>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</si>
  <si>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</si>
  <si>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</si>
  <si>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</si>
  <si>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</si>
  <si>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</si>
  <si>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</si>
  <si>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</si>
  <si>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</si>
  <si>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</si>
  <si>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</si>
  <si>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</si>
  <si>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</si>
  <si>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</si>
  <si>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</si>
  <si>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</si>
  <si>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</si>
  <si>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</si>
  <si>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</si>
  <si>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</si>
  <si>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</si>
  <si>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</si>
  <si>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</si>
  <si>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</si>
  <si>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</si>
  <si>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</si>
  <si>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</si>
  <si>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</si>
  <si>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</si>
  <si>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</si>
  <si>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</si>
  <si>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</si>
  <si>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</si>
  <si>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</si>
  <si>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</si>
  <si>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</si>
  <si>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</si>
  <si>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</si>
  <si>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</si>
  <si>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</si>
  <si>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</si>
  <si>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</si>
  <si>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</si>
  <si>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</si>
  <si>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</si>
  <si>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</si>
  <si>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</si>
  <si>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</si>
  <si>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</si>
  <si>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</si>
  <si>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</si>
  <si>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</si>
  <si>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</si>
  <si>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</si>
  <si>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</si>
  <si>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</si>
  <si>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</si>
  <si>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</si>
  <si>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</si>
  <si>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</si>
  <si>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</si>
  <si>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</si>
  <si>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</si>
  <si>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</si>
  <si>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</si>
  <si>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</si>
  <si>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</si>
  <si>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</si>
  <si>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</si>
  <si>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</si>
  <si>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</si>
  <si>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</si>
  <si>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</si>
  <si>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</si>
  <si>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</si>
  <si>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</si>
  <si>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</si>
  <si>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</si>
  <si>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</si>
  <si>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</si>
  <si>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</si>
  <si>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</si>
  <si>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</si>
  <si>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</si>
  <si>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</si>
  <si>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</si>
  <si>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</si>
  <si>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</si>
  <si>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</si>
  <si>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</si>
  <si>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</si>
  <si>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</si>
  <si>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</si>
  <si>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</si>
  <si>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</si>
  <si>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</si>
  <si>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</si>
  <si>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</si>
  <si>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</si>
  <si>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</si>
  <si>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</si>
  <si>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</si>
  <si>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</si>
  <si>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</si>
  <si>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</si>
  <si>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</si>
  <si>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</si>
  <si>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</si>
  <si>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</si>
  <si>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</si>
  <si>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</si>
  <si>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</si>
  <si>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</si>
  <si>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</si>
  <si>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</si>
  <si>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</si>
  <si>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</si>
  <si>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</si>
  <si>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</si>
  <si>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</si>
  <si>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</si>
  <si>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</si>
  <si>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</si>
  <si>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</si>
  <si>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</si>
  <si>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</si>
  <si>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</si>
  <si>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</si>
  <si>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</si>
  <si>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</si>
  <si>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</si>
  <si>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</si>
  <si>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</si>
  <si>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</si>
  <si>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</si>
  <si>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</si>
  <si>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</si>
  <si>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</si>
  <si>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</si>
  <si>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</si>
  <si>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</si>
  <si>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</si>
  <si>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</si>
  <si>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</si>
  <si>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</si>
  <si>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</si>
  <si>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</si>
  <si>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</si>
  <si>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</si>
  <si>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</si>
  <si>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</si>
  <si>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</si>
  <si>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</si>
  <si>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</si>
  <si>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</si>
  <si>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</si>
  <si>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</si>
  <si>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</si>
  <si>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</si>
  <si>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</si>
  <si>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</si>
  <si>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</si>
  <si>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</si>
  <si>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</si>
  <si>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</si>
  <si>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</si>
  <si>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</si>
  <si>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</si>
  <si>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</si>
  <si>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</si>
  <si>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</si>
  <si>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</si>
  <si>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</si>
  <si>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</si>
  <si>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</si>
  <si>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</si>
  <si>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</si>
  <si>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</si>
  <si>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</si>
  <si>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</si>
  <si>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</si>
  <si>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</si>
  <si>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</si>
  <si>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</si>
  <si>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</si>
  <si>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</si>
  <si>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</si>
  <si>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</si>
  <si>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</si>
  <si>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</si>
  <si>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</si>
  <si>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</si>
  <si>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</si>
  <si>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</si>
  <si>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</si>
  <si>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</si>
  <si>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</si>
  <si>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</si>
  <si>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</si>
  <si>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</si>
  <si>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</si>
  <si>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</si>
  <si>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</si>
  <si>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</si>
  <si>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</si>
  <si>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</si>
  <si>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</si>
  <si>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</si>
  <si>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</si>
  <si>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</si>
  <si>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</si>
  <si>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</si>
  <si>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</si>
  <si>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</si>
  <si>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</si>
  <si>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</si>
  <si>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</si>
  <si>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</si>
  <si>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</si>
  <si>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</si>
  <si>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</si>
  <si>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</si>
  <si>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</si>
  <si>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</si>
  <si>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</si>
  <si>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</si>
  <si>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</si>
  <si>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</si>
  <si>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</si>
  <si>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</si>
  <si>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</si>
  <si>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</si>
  <si>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</si>
  <si>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</si>
  <si>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</si>
  <si>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</si>
  <si>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</si>
  <si>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</si>
  <si>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</si>
  <si>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</si>
  <si>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</si>
  <si>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</si>
  <si>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</si>
  <si>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</si>
  <si>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</si>
  <si>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</si>
  <si>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</si>
  <si>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</si>
  <si>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</si>
  <si>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</si>
  <si>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</si>
  <si>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</si>
  <si>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</si>
  <si>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</si>
  <si>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</si>
  <si>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</si>
  <si>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</si>
  <si>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</si>
  <si>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</si>
  <si>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</si>
  <si>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</si>
  <si>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</si>
  <si>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</si>
  <si>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</si>
  <si>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</si>
  <si>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</si>
  <si>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</si>
  <si>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</si>
  <si>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</si>
  <si>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</si>
  <si>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</si>
  <si>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</si>
  <si>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</si>
  <si>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</si>
  <si>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</si>
  <si>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</si>
  <si>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</si>
  <si>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</si>
  <si>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</si>
  <si>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</si>
  <si>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</si>
  <si>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</si>
  <si>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</si>
  <si>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</si>
  <si>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</si>
  <si>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</si>
  <si>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</si>
  <si>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</si>
  <si>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</si>
  <si>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</si>
  <si>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</si>
  <si>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</si>
  <si>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</si>
  <si>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</si>
  <si>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</si>
  <si>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</si>
  <si>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</si>
  <si>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</si>
  <si>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</si>
  <si>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</si>
  <si>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</si>
  <si>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</si>
  <si>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</si>
  <si>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</si>
  <si>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</si>
  <si>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</si>
  <si>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</si>
  <si>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</si>
  <si>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</si>
  <si>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</si>
  <si>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</si>
  <si>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</si>
  <si>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</si>
  <si>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</si>
  <si>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</si>
  <si>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</si>
  <si>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</si>
  <si>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</si>
  <si>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</si>
  <si>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</si>
  <si>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</si>
  <si>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</si>
  <si>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</si>
  <si>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</si>
  <si>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</si>
  <si>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</si>
  <si>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</si>
  <si>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</si>
  <si>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</si>
  <si>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</si>
  <si>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</si>
  <si>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</si>
  <si>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</si>
  <si>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</si>
  <si>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</si>
  <si>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</si>
  <si>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</si>
  <si>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</si>
  <si>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</si>
  <si>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</si>
  <si>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</si>
  <si>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</si>
  <si>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</si>
  <si>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</si>
  <si>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</si>
  <si>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</si>
  <si>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</si>
  <si>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</si>
  <si>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</si>
  <si>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</si>
  <si>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</si>
  <si>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</si>
  <si>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</si>
  <si>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</si>
  <si>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</si>
  <si>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</si>
  <si>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</si>
  <si>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</si>
  <si>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</si>
  <si>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</si>
  <si>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</si>
  <si>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</si>
  <si>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</si>
  <si>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</si>
  <si>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</si>
  <si>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</si>
  <si>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</si>
  <si>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</si>
  <si>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</si>
  <si>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</si>
  <si>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</si>
  <si>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</si>
  <si>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</si>
  <si>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</si>
  <si>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</si>
  <si>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</si>
  <si>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</si>
  <si>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</si>
  <si>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</si>
  <si>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</si>
  <si>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</si>
  <si>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</si>
  <si>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</si>
  <si>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</si>
  <si>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</si>
  <si>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</si>
  <si>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</si>
  <si>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</si>
  <si>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</si>
  <si>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</si>
  <si>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</si>
  <si>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</si>
  <si>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</si>
  <si>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</si>
  <si>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</si>
  <si>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</si>
  <si>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</si>
  <si>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</si>
  <si>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</si>
  <si>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</si>
  <si>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</si>
  <si>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</si>
  <si>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</si>
  <si>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</si>
  <si>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</si>
  <si>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</si>
  <si>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</si>
  <si>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</si>
  <si>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</si>
  <si>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</si>
  <si>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</si>
  <si>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</si>
  <si>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</si>
  <si>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</si>
  <si>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</si>
  <si>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</si>
  <si>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</si>
  <si>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</si>
  <si>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</si>
  <si>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</si>
  <si>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</si>
  <si>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</si>
  <si>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</si>
  <si>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</si>
  <si>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</si>
  <si>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</si>
  <si>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</si>
  <si>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</si>
  <si>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</si>
  <si>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</si>
  <si>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</si>
  <si>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</si>
  <si>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</si>
  <si>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</si>
  <si>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</si>
  <si>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</si>
  <si>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</si>
  <si>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</si>
  <si>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</si>
  <si>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</si>
  <si>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</si>
  <si>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</si>
  <si>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</si>
  <si>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</si>
  <si>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</si>
  <si>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</si>
  <si>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</si>
  <si>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</si>
  <si>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</si>
  <si>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</si>
  <si>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</si>
  <si>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</si>
  <si>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</si>
  <si>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</si>
  <si>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</si>
  <si>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</si>
  <si>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</si>
  <si>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</si>
  <si>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</si>
  <si>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</si>
  <si>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</si>
  <si>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</si>
  <si>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</si>
  <si>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</si>
  <si>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</si>
  <si>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</si>
  <si>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</si>
  <si>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</si>
  <si>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</si>
  <si>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</si>
  <si>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</si>
  <si>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</si>
  <si>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</si>
  <si>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</si>
  <si>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</si>
  <si>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</si>
  <si>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</si>
  <si>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</si>
  <si>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</si>
  <si>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</si>
  <si>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</si>
  <si>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</si>
  <si>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</si>
  <si>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</si>
  <si>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</si>
  <si>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</si>
  <si>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</si>
  <si>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</si>
  <si>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</si>
  <si>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</si>
  <si>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</si>
  <si>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</si>
  <si>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</si>
  <si>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</si>
  <si>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</si>
  <si>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</si>
  <si>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</si>
  <si>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</si>
  <si>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</si>
  <si>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</si>
  <si>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</si>
  <si>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</si>
  <si>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</si>
  <si>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</si>
  <si>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</si>
  <si>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</si>
  <si>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</si>
  <si>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</si>
  <si>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</si>
  <si>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</si>
  <si>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</si>
  <si>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</si>
  <si>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</si>
  <si>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</si>
  <si>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</si>
  <si>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</si>
  <si>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</si>
  <si>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</si>
  <si>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</si>
  <si>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</si>
  <si>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</si>
  <si>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</si>
  <si>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</si>
  <si>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</si>
  <si>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</si>
  <si>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</si>
  <si>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</si>
  <si>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</si>
  <si>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</si>
  <si>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</si>
  <si>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</si>
  <si>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</si>
  <si>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</si>
  <si>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</si>
  <si>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</si>
  <si>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</si>
  <si>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</si>
  <si>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</si>
  <si>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</si>
  <si>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</si>
  <si>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</si>
  <si>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</si>
  <si>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</si>
  <si>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</si>
  <si>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</si>
  <si>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</si>
  <si>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</si>
  <si>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</si>
  <si>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</si>
  <si>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</si>
  <si>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</si>
  <si>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</si>
  <si>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</si>
  <si>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</si>
  <si>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</si>
  <si>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</si>
  <si>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</si>
  <si>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</si>
  <si>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</si>
  <si>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</si>
  <si>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</si>
  <si>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</si>
  <si>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</si>
  <si>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</si>
  <si>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</si>
  <si>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</si>
  <si>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</si>
  <si>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</si>
  <si>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</si>
  <si>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</si>
  <si>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</si>
  <si>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</si>
  <si>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</si>
  <si>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</si>
  <si>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</si>
  <si>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</si>
  <si>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</si>
  <si>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</si>
  <si>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</si>
  <si>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</si>
  <si>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</si>
  <si>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</si>
  <si>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</si>
  <si>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</si>
  <si>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</si>
  <si>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</si>
  <si>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</si>
  <si>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</si>
  <si>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</si>
  <si>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</si>
  <si>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</si>
  <si>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</si>
  <si>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</si>
  <si>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</si>
  <si>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</si>
  <si>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</si>
  <si>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</si>
  <si>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</si>
  <si>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</si>
  <si>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</si>
  <si>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</si>
  <si>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</si>
  <si>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</si>
  <si>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</si>
  <si>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</si>
  <si>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</si>
  <si>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</si>
  <si>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</si>
  <si>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</si>
  <si>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</si>
  <si>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</si>
  <si>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</si>
  <si>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</si>
  <si>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</si>
  <si>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</si>
  <si>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</si>
  <si>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</si>
  <si>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</si>
  <si>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</si>
  <si>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</si>
  <si>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</si>
  <si>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</si>
  <si>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</si>
  <si>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</si>
  <si>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</si>
  <si>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</si>
  <si>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</si>
  <si>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</si>
  <si>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</si>
  <si>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</si>
  <si>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</si>
  <si>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</si>
  <si>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</si>
  <si>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</si>
  <si>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</si>
  <si>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</si>
  <si>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</si>
  <si>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</si>
  <si>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</si>
  <si>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</si>
  <si>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</si>
  <si>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</si>
  <si>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</si>
  <si>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</si>
  <si>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</si>
  <si>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</si>
  <si>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</si>
  <si>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</si>
  <si>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</si>
  <si>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</si>
  <si>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</si>
  <si>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</si>
  <si>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</si>
  <si>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</si>
  <si>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</si>
  <si>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</si>
  <si>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</si>
  <si>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</si>
  <si>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</si>
  <si>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</si>
  <si>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</si>
  <si>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</si>
  <si>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</si>
  <si>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</si>
  <si>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</si>
  <si>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</si>
  <si>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</si>
  <si>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</si>
  <si>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</si>
  <si>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</si>
  <si>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</si>
  <si>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</si>
  <si>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</si>
  <si>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</si>
  <si>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</si>
  <si>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</si>
  <si>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</si>
  <si>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</si>
  <si>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</si>
  <si>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</si>
  <si>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</si>
  <si>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</si>
  <si>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</si>
  <si>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</si>
  <si>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</si>
  <si>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</si>
  <si>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</si>
  <si>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</si>
  <si>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</si>
  <si>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</si>
  <si>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</si>
  <si>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</si>
  <si>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</si>
  <si>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</si>
  <si>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</si>
  <si>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</si>
  <si>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</si>
  <si>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</si>
  <si>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</si>
  <si>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</si>
  <si>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</si>
  <si>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</si>
  <si>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</si>
  <si>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</si>
  <si>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</si>
  <si>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</si>
  <si>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</si>
  <si>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</si>
  <si>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</si>
  <si>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</si>
  <si>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</si>
  <si>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</si>
  <si>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</si>
  <si>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</si>
  <si>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</si>
  <si>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</si>
  <si>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</si>
  <si>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</si>
  <si>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</si>
  <si>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</si>
  <si>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</si>
  <si>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</si>
  <si>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</si>
  <si>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</si>
  <si>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</si>
  <si>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</si>
  <si>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</si>
  <si>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</si>
  <si>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</si>
  <si>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</si>
  <si>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</si>
  <si>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</si>
  <si>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</si>
  <si>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</si>
  <si>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</si>
  <si>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</si>
  <si>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</si>
  <si>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</si>
  <si>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</si>
  <si>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</si>
  <si>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</si>
  <si>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</si>
  <si>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</si>
  <si>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</si>
  <si>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</si>
  <si>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</si>
  <si>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</si>
  <si>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</si>
  <si>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</si>
  <si>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</si>
  <si>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</si>
  <si>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</si>
  <si>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</si>
  <si>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</si>
  <si>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</si>
  <si>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</si>
  <si>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</si>
  <si>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</si>
  <si>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</si>
  <si>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</si>
  <si>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</si>
  <si>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</si>
  <si>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</si>
  <si>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</si>
  <si>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</si>
  <si>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</si>
  <si>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</si>
  <si>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</si>
  <si>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</si>
  <si>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</si>
  <si>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</si>
  <si>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</si>
  <si>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</si>
  <si>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</si>
  <si>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</si>
  <si>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</si>
  <si>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</si>
  <si>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</si>
  <si>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</si>
  <si>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</si>
  <si>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</si>
  <si>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</si>
  <si>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</si>
  <si>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</si>
  <si>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</si>
  <si>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</si>
  <si>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</si>
  <si>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</si>
  <si>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</si>
  <si>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</si>
  <si>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</si>
  <si>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</si>
  <si>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</si>
  <si>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</si>
  <si>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</si>
  <si>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</si>
  <si>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</si>
  <si>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</si>
  <si>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</si>
  <si>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</si>
  <si>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</si>
  <si>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</si>
  <si>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</si>
  <si>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</si>
  <si>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</si>
  <si>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</si>
  <si>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</si>
  <si>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</si>
  <si>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</si>
  <si>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</si>
  <si>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</si>
  <si>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</si>
  <si>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</si>
  <si>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</si>
  <si>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</si>
  <si>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</si>
  <si>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</si>
  <si>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</si>
  <si>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</si>
  <si>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</si>
  <si>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</si>
  <si>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</si>
  <si>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</si>
  <si>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</si>
  <si>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</si>
  <si>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</si>
  <si>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</si>
  <si>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</si>
  <si>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</si>
  <si>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</si>
  <si>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</si>
  <si>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</si>
  <si>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</si>
  <si>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</si>
  <si>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</si>
  <si>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</si>
  <si>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</si>
  <si>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</si>
  <si>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</si>
  <si>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</si>
  <si>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</si>
  <si>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</si>
  <si>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</si>
  <si>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</si>
  <si>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</si>
  <si>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</si>
  <si>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</si>
  <si>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</si>
  <si>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</si>
  <si>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</si>
  <si>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</si>
  <si>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</si>
  <si>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</si>
  <si>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</si>
  <si>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</si>
  <si>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</si>
  <si>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</si>
  <si>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</si>
  <si>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</si>
  <si>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</si>
  <si>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</si>
  <si>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</si>
  <si>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</si>
  <si>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</si>
  <si>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</si>
  <si>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</si>
  <si>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</si>
  <si>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</si>
  <si>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</si>
  <si>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</si>
  <si>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</si>
  <si>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</si>
  <si>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</si>
  <si>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</si>
  <si>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</si>
  <si>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</si>
  <si>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</si>
  <si>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</si>
  <si>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</si>
  <si>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</si>
  <si>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</si>
  <si>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</si>
  <si>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</si>
  <si>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</si>
  <si>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</si>
  <si>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</si>
  <si>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</si>
  <si>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</si>
  <si>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</si>
  <si>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</si>
  <si>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</si>
  <si>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</si>
  <si>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</si>
  <si>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</si>
  <si>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</si>
  <si>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</si>
  <si>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</si>
  <si>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</si>
  <si>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</si>
  <si>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</si>
  <si>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</si>
  <si>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</si>
  <si>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</si>
  <si>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</si>
  <si>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</si>
  <si>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</si>
  <si>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</si>
  <si>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</si>
  <si>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</si>
  <si>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</si>
  <si>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</si>
  <si>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</si>
  <si>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</si>
  <si>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</si>
  <si>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</si>
  <si>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</si>
  <si>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</si>
  <si>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</si>
  <si>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</si>
  <si>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</si>
  <si>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</si>
  <si>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</si>
  <si>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</si>
  <si>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</si>
  <si>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</si>
  <si>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</si>
  <si>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</si>
  <si>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</si>
  <si>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</si>
  <si>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</si>
  <si>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</si>
  <si>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</si>
  <si>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</si>
  <si>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</si>
  <si>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</si>
  <si>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</si>
  <si>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</si>
  <si>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</si>
  <si>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</si>
  <si>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</si>
  <si>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</si>
  <si>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</si>
  <si>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</si>
  <si>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</si>
  <si>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</si>
  <si>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</si>
  <si>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</si>
  <si>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</si>
  <si>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</si>
  <si>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</si>
  <si>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</si>
  <si>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</si>
  <si>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</si>
  <si>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</si>
  <si>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</si>
  <si>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</si>
  <si>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</si>
  <si>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</si>
  <si>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</si>
  <si>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</si>
  <si>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</si>
  <si>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</si>
  <si>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</si>
  <si>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</si>
  <si>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</si>
  <si>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</si>
  <si>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</si>
  <si>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</si>
  <si>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</si>
  <si>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</si>
  <si>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</si>
  <si>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</si>
  <si>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</si>
  <si>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</si>
  <si>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</si>
  <si>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</si>
  <si>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</si>
  <si>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</si>
  <si>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</si>
  <si>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</si>
  <si>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</si>
  <si>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</si>
  <si>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</si>
  <si>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</si>
  <si>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</si>
  <si>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</si>
  <si>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</si>
  <si>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</si>
  <si>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</si>
  <si>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</si>
  <si>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</si>
  <si>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</si>
  <si>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</si>
  <si>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</si>
  <si>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</si>
  <si>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</si>
  <si>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</si>
  <si>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</si>
  <si>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</si>
  <si>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</si>
  <si>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</si>
  <si>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</si>
  <si>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</si>
  <si>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</si>
  <si>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</si>
  <si>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</si>
  <si>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</si>
  <si>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</si>
  <si>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</si>
  <si>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</si>
  <si>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</si>
  <si>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</si>
  <si>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</si>
  <si>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</si>
  <si>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</si>
  <si>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</si>
  <si>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</si>
  <si>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</si>
  <si>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</si>
  <si>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</si>
  <si>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</si>
  <si>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</si>
  <si>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</si>
  <si>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</si>
  <si>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</si>
  <si>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</si>
  <si>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</si>
  <si>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</si>
  <si>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</si>
  <si>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</si>
  <si>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</si>
  <si>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</si>
  <si>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</si>
  <si>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</si>
  <si>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</si>
  <si>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</si>
  <si>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</si>
  <si>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</si>
  <si>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</si>
  <si>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</si>
  <si>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</si>
  <si>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</si>
  <si>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</si>
  <si>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</si>
  <si>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</si>
  <si>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</si>
  <si>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</si>
  <si>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</si>
  <si>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</si>
  <si>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</si>
  <si>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</si>
  <si>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</si>
  <si>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</si>
  <si>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</si>
  <si>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</si>
  <si>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</si>
  <si>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</si>
  <si>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</si>
  <si>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</si>
  <si>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</si>
  <si>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</si>
  <si>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</si>
  <si>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</si>
  <si>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</si>
  <si>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</si>
  <si>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</si>
  <si>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</si>
  <si>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</si>
  <si>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</si>
  <si>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</si>
  <si>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</si>
  <si>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</si>
  <si>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</si>
  <si>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</si>
  <si>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</si>
  <si>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</si>
  <si>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</si>
  <si>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</si>
  <si>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</si>
  <si>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</si>
  <si>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</si>
  <si>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</si>
  <si>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</si>
  <si>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</si>
  <si>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</si>
  <si>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</si>
  <si>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</si>
  <si>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</si>
  <si>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</si>
  <si>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</si>
  <si>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</si>
  <si>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</si>
  <si>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</si>
  <si>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</si>
  <si>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</si>
  <si>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</si>
  <si>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</si>
  <si>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</si>
  <si>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</si>
  <si>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</si>
  <si>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</si>
  <si>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</si>
  <si>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</si>
  <si>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</si>
  <si>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</si>
  <si>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</si>
  <si>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</si>
  <si>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</si>
  <si>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</si>
  <si>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</si>
  <si>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</si>
  <si>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</si>
  <si>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</si>
  <si>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</si>
  <si>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</si>
  <si>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</si>
  <si>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</si>
  <si>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</si>
  <si>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</si>
  <si>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</si>
  <si>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</si>
  <si>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</si>
  <si>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</si>
  <si>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</si>
  <si>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</si>
  <si>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</si>
  <si>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</si>
  <si>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</si>
  <si>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</si>
  <si>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</si>
  <si>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</si>
  <si>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</si>
  <si>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</si>
  <si>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</si>
  <si>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</si>
  <si>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</si>
  <si>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</si>
  <si>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</si>
  <si>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</si>
  <si>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</si>
  <si>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</si>
  <si>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</si>
  <si>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</si>
  <si>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</si>
  <si>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</si>
  <si>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</si>
  <si>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</si>
  <si>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</si>
  <si>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</si>
  <si>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</si>
  <si>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</si>
  <si>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</si>
  <si>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</si>
  <si>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</si>
  <si>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</si>
  <si>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</si>
  <si>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</si>
  <si>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</si>
  <si>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</si>
  <si>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</si>
  <si>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</si>
  <si>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</si>
  <si>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</si>
  <si>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</si>
  <si>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</si>
  <si>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</si>
  <si>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</si>
  <si>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</si>
  <si>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</si>
  <si>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</si>
  <si>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</si>
  <si>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</si>
  <si>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</si>
  <si>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</si>
  <si>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</si>
  <si>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</si>
  <si>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</si>
  <si>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</si>
  <si>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</si>
  <si>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</si>
  <si>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</si>
  <si>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</si>
  <si>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</si>
  <si>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</si>
  <si>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</si>
  <si>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</si>
  <si>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</si>
  <si>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</si>
  <si>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</si>
  <si>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</si>
  <si>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</si>
  <si>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</si>
  <si>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</si>
  <si>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</si>
  <si>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</si>
  <si>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</si>
  <si>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</si>
  <si>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</si>
  <si>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</si>
  <si>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</si>
  <si>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</si>
  <si>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</si>
  <si>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</si>
  <si>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</si>
  <si>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</si>
  <si>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</si>
  <si>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</si>
  <si>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</si>
  <si>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</si>
  <si>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</si>
  <si>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</si>
  <si>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</si>
  <si>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</si>
  <si>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</si>
  <si>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</si>
  <si>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</si>
  <si>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</si>
  <si>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</si>
  <si>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</si>
  <si>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</si>
  <si>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</si>
  <si>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</si>
  <si>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</si>
  <si>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</si>
  <si>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</si>
  <si>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</si>
  <si>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</si>
  <si>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</si>
  <si>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</si>
  <si>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</si>
  <si>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</si>
  <si>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</si>
  <si>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</si>
  <si>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</si>
  <si>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</si>
  <si>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</si>
  <si>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</si>
  <si>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</si>
  <si>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</si>
  <si>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</si>
  <si>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</si>
  <si>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</si>
  <si>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</si>
  <si>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</si>
  <si>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</si>
  <si>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</si>
  <si>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</si>
  <si>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</si>
  <si>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</si>
  <si>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</si>
  <si>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</si>
  <si>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</si>
  <si>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</si>
  <si>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</si>
  <si>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</si>
  <si>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</si>
  <si>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</si>
  <si>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</si>
  <si>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</si>
  <si>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</si>
  <si>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</si>
  <si>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</si>
  <si>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</si>
  <si>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</si>
  <si>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</si>
  <si>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</si>
  <si>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</si>
  <si>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</si>
  <si>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</si>
  <si>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</si>
  <si>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</si>
  <si>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</si>
  <si>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</si>
  <si>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</si>
  <si>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</si>
  <si>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</si>
  <si>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</si>
  <si>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</si>
  <si>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</si>
  <si>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</si>
  <si>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</si>
  <si>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</si>
  <si>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</si>
  <si>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</si>
  <si>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</si>
  <si>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</si>
  <si>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</si>
  <si>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</si>
  <si>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</si>
  <si>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</si>
  <si>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</si>
  <si>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</si>
  <si>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</si>
  <si>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</si>
  <si>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</si>
  <si>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</si>
  <si>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</si>
  <si>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</si>
  <si>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</si>
  <si>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</si>
  <si>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</si>
  <si>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</si>
  <si>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</si>
  <si>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</si>
  <si>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</si>
  <si>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</si>
  <si>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</si>
  <si>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</si>
  <si>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</si>
  <si>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</si>
  <si>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</si>
  <si>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</si>
  <si>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</si>
  <si>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</si>
  <si>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</si>
  <si>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</si>
  <si>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</si>
  <si>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</si>
  <si>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</si>
  <si>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</si>
  <si>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</si>
  <si>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</si>
  <si>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</si>
  <si>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</si>
  <si>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</si>
  <si>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</si>
  <si>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</si>
  <si>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</si>
  <si>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</si>
  <si>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</si>
  <si>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</si>
  <si>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</si>
  <si>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</si>
  <si>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</si>
  <si>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</si>
  <si>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</si>
  <si>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</si>
  <si>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</si>
  <si>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</si>
  <si>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</si>
  <si>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</si>
  <si>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</si>
  <si>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</si>
  <si>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</si>
  <si>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</si>
  <si>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</si>
  <si>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</si>
  <si>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</si>
  <si>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</si>
  <si>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</si>
  <si>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</si>
  <si>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</si>
  <si>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</si>
  <si>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</si>
  <si>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</si>
  <si>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</si>
  <si>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</si>
  <si>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</si>
  <si>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</si>
  <si>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</si>
  <si>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</si>
  <si>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</si>
  <si>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</si>
  <si>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</si>
  <si>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</si>
  <si>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</si>
  <si>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</si>
  <si>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</si>
  <si>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</si>
  <si>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</si>
  <si>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</si>
  <si>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</si>
  <si>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</si>
  <si>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</si>
  <si>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</si>
  <si>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</si>
  <si>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</si>
  <si>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</si>
  <si>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</si>
  <si>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</si>
  <si>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</si>
  <si>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</si>
  <si>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</si>
  <si>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</si>
  <si>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</si>
  <si>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</si>
  <si>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</si>
  <si>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</si>
  <si>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</si>
  <si>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</si>
  <si>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</si>
  <si>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</si>
  <si>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</si>
  <si>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</si>
  <si>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</si>
  <si>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</si>
  <si>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</si>
  <si>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</si>
  <si>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</si>
  <si>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</si>
  <si>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</si>
  <si>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</si>
  <si>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</si>
  <si>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</si>
  <si>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</si>
  <si>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</si>
  <si>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</si>
  <si>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</si>
  <si>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</si>
  <si>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</si>
  <si>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</si>
  <si>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</si>
  <si>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</si>
  <si>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</si>
  <si>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</si>
  <si>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</si>
  <si>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</si>
  <si>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</si>
  <si>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</si>
  <si>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</si>
  <si>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</si>
  <si>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</si>
  <si>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</si>
  <si>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</si>
  <si>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</si>
  <si>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</si>
  <si>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</si>
  <si>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</si>
  <si>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</si>
  <si>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</si>
  <si>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</si>
  <si>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</si>
  <si>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</si>
  <si>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</si>
  <si>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</si>
  <si>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</si>
  <si>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</si>
  <si>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</si>
  <si>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</si>
  <si>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</si>
  <si>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</si>
  <si>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</si>
  <si>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</si>
  <si>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</si>
  <si>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</si>
  <si>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</si>
  <si>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</si>
  <si>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</si>
  <si>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</si>
  <si>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</si>
  <si>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</si>
  <si>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</si>
  <si>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</si>
  <si>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</si>
  <si>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</si>
  <si>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</si>
  <si>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</si>
  <si>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</si>
  <si>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</si>
  <si>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</si>
  <si>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</si>
  <si>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</si>
  <si>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</si>
  <si>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</si>
  <si>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</si>
  <si>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</si>
  <si>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</si>
  <si>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</si>
  <si>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</si>
  <si>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</si>
  <si>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</si>
  <si>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</si>
  <si>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</si>
  <si>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</si>
  <si>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</si>
  <si>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</si>
  <si>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</si>
  <si>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</si>
  <si>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</si>
  <si>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</si>
  <si>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</si>
  <si>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</si>
  <si>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</si>
  <si>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</si>
  <si>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</si>
  <si>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</si>
  <si>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</si>
  <si>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</si>
  <si>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</si>
  <si>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</si>
  <si>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</si>
  <si>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</si>
  <si>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</si>
  <si>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</si>
  <si>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</si>
  <si>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</si>
  <si>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</si>
  <si>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</si>
  <si>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</si>
  <si>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</si>
  <si>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</si>
  <si>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</si>
  <si>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</si>
  <si>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</si>
  <si>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</si>
  <si>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</si>
  <si>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</si>
  <si>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</si>
  <si>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</si>
  <si>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</si>
  <si>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</si>
  <si>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</si>
  <si>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</si>
  <si>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</si>
  <si>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</si>
  <si>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</si>
  <si>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</si>
  <si>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</si>
  <si>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</si>
  <si>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</si>
  <si>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</si>
  <si>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</si>
  <si>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</si>
  <si>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</si>
  <si>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</si>
  <si>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</si>
  <si>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</si>
  <si>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</si>
  <si>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</si>
  <si>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</si>
  <si>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</si>
  <si>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</si>
  <si>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</si>
  <si>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</si>
  <si>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</si>
  <si>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</si>
  <si>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</si>
  <si>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</si>
  <si>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</si>
  <si>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</si>
  <si>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</si>
  <si>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</si>
  <si>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</si>
  <si>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</si>
  <si>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</si>
  <si>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</si>
  <si>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</si>
  <si>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</si>
  <si>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</si>
  <si>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</si>
  <si>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</si>
  <si>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</si>
  <si>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</si>
  <si>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</si>
  <si>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</si>
  <si>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</si>
  <si>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</si>
  <si>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</si>
  <si>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</si>
  <si>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</si>
  <si>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</si>
  <si>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</si>
  <si>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</si>
  <si>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</si>
  <si>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</si>
  <si>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</si>
  <si>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</si>
  <si>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</si>
  <si>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</si>
  <si>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</si>
  <si>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</si>
  <si>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</si>
  <si>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</si>
  <si>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</si>
  <si>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</si>
  <si>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</si>
  <si>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</si>
  <si>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</si>
  <si>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</si>
  <si>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</si>
  <si>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</si>
  <si>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</si>
  <si>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</si>
  <si>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</si>
  <si>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</si>
  <si>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</si>
  <si>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</si>
  <si>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</si>
  <si>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</si>
  <si>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</si>
  <si>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</si>
  <si>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</si>
  <si>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</si>
  <si>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</si>
  <si>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</si>
  <si>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</si>
  <si>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</si>
  <si>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</si>
  <si>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</si>
  <si>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</si>
  <si>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</si>
  <si>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</si>
  <si>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</si>
  <si>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</si>
  <si>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</si>
  <si>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</si>
  <si>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</si>
  <si>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</si>
  <si>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</si>
  <si>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</si>
  <si>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</si>
  <si>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</si>
  <si>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</si>
  <si>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</si>
  <si>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</si>
  <si>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</si>
  <si>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</si>
  <si>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</si>
  <si>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</si>
  <si>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</si>
  <si>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</si>
  <si>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</si>
  <si>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</si>
  <si>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</si>
  <si>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</si>
  <si>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</si>
  <si>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</si>
  <si>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</si>
  <si>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</si>
  <si>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</si>
  <si>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</si>
  <si>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</si>
  <si>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</si>
  <si>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</si>
  <si>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</si>
  <si>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</si>
  <si>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</si>
  <si>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</si>
  <si>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</si>
  <si>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</si>
  <si>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</si>
  <si>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</si>
  <si>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</si>
  <si>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</si>
  <si>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</si>
  <si>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</si>
  <si>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</si>
  <si>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</si>
  <si>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</si>
  <si>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</si>
  <si>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</si>
  <si>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</si>
  <si>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</si>
  <si>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</si>
  <si>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</si>
  <si>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</si>
  <si>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</si>
  <si>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</si>
  <si>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</si>
  <si>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</si>
  <si>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</si>
  <si>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</si>
  <si>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</si>
  <si>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</si>
  <si>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</si>
  <si>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</si>
  <si>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</si>
  <si>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</si>
  <si>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</si>
  <si>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</si>
  <si>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</si>
  <si>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</si>
  <si>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</si>
  <si>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</si>
  <si>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</si>
  <si>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</si>
  <si>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</si>
  <si>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</si>
  <si>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</si>
  <si>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</si>
  <si>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</si>
  <si>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</si>
  <si>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</si>
  <si>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</si>
  <si>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</si>
  <si>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</si>
  <si>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</si>
  <si>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</si>
  <si>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</si>
  <si>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</si>
  <si>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</si>
  <si>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</si>
  <si>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</si>
  <si>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</si>
  <si>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</si>
  <si>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</si>
  <si>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</si>
  <si>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</si>
  <si>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</si>
  <si>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</si>
  <si>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</si>
  <si>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</si>
  <si>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</si>
  <si>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</si>
  <si>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</si>
  <si>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</si>
  <si>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</si>
  <si>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</si>
  <si>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</si>
  <si>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</si>
  <si>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</si>
  <si>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</si>
  <si>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</si>
  <si>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</si>
  <si>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</si>
  <si>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</si>
  <si>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</si>
  <si>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</si>
  <si>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</si>
  <si>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</si>
  <si>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</si>
  <si>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</si>
  <si>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</si>
  <si>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</si>
  <si>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</si>
  <si>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</si>
  <si>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</si>
  <si>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</si>
  <si>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</si>
  <si>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</si>
  <si>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</si>
  <si>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</si>
  <si>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</si>
  <si>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</si>
  <si>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</si>
  <si>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</si>
  <si>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</si>
  <si>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</si>
  <si>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</si>
  <si>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</si>
  <si>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</si>
  <si>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</si>
  <si>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</si>
  <si>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</si>
  <si>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</si>
  <si>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</si>
  <si>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</si>
  <si>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</si>
  <si>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</si>
  <si>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</si>
  <si>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</si>
  <si>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</si>
  <si>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</si>
  <si>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</si>
  <si>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</si>
  <si>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</si>
  <si>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</si>
  <si>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</si>
  <si>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</si>
  <si>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</si>
  <si>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</si>
  <si>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</si>
  <si>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</si>
  <si>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</si>
  <si>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</si>
  <si>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</si>
  <si>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</si>
  <si>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</si>
  <si>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</si>
  <si>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</si>
  <si>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</si>
  <si>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</si>
  <si>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</si>
  <si>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</si>
  <si>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</si>
  <si>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</si>
  <si>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</si>
  <si>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</si>
  <si>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</si>
  <si>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</si>
  <si>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</si>
  <si>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</si>
  <si>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</si>
  <si>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</si>
  <si>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</si>
  <si>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</si>
  <si>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</si>
  <si>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</si>
  <si>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</si>
  <si>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</si>
  <si>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</si>
  <si>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</si>
  <si>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</si>
  <si>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</si>
  <si>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</si>
  <si>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</si>
  <si>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</si>
  <si>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</si>
  <si>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</si>
  <si>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</si>
  <si>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</si>
  <si>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</si>
  <si>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</si>
  <si>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</si>
  <si>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</si>
  <si>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</si>
  <si>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</si>
  <si>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</si>
  <si>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</si>
  <si>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</si>
  <si>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</si>
  <si>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</si>
  <si>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</si>
  <si>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</si>
  <si>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</si>
  <si>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</si>
  <si>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</si>
  <si>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</si>
  <si>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</si>
  <si>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</si>
  <si>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</si>
  <si>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</si>
  <si>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</si>
  <si>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</si>
  <si>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</si>
  <si>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</si>
  <si>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</si>
  <si>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</si>
  <si>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</si>
  <si>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</si>
  <si>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</si>
  <si>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</si>
  <si>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</si>
  <si>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</si>
  <si>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</si>
  <si>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</si>
  <si>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</si>
  <si>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</si>
  <si>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</si>
  <si>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</si>
  <si>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</si>
  <si>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</si>
  <si>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</si>
  <si>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</si>
  <si>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</si>
  <si>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</si>
  <si>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</si>
  <si>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</si>
  <si>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</si>
  <si>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</si>
  <si>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</si>
  <si>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</si>
  <si>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</si>
  <si>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</si>
  <si>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</si>
  <si>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</si>
  <si>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</si>
  <si>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</si>
  <si>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</si>
  <si>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</si>
  <si>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</si>
  <si>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</si>
  <si>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</si>
  <si>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</si>
  <si>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</si>
  <si>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</si>
  <si>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</si>
  <si>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</si>
  <si>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</si>
  <si>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</si>
  <si>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</si>
  <si>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</si>
  <si>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</si>
  <si>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</si>
  <si>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</si>
  <si>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</si>
  <si>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</si>
  <si>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</si>
  <si>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</si>
  <si>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</si>
  <si>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</si>
  <si>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</si>
  <si>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</si>
  <si>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</si>
  <si>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</si>
  <si>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</si>
  <si>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</si>
  <si>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</si>
  <si>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</si>
  <si>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</si>
  <si>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</si>
  <si>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</si>
  <si>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</si>
  <si>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</si>
  <si>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</si>
  <si>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</si>
  <si>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</si>
  <si>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</si>
  <si>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</si>
  <si>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</si>
  <si>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</si>
  <si>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</si>
  <si>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</si>
  <si>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</si>
  <si>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</si>
  <si>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</si>
  <si>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</si>
  <si>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</si>
  <si>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</si>
  <si>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</si>
  <si>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</si>
  <si>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</si>
  <si>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</si>
  <si>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</si>
  <si>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</si>
  <si>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</si>
  <si>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</si>
  <si>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</si>
  <si>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</si>
  <si>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</si>
  <si>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</si>
  <si>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</si>
  <si>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</si>
  <si>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</si>
  <si>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</si>
  <si>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</si>
  <si>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</si>
  <si>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</si>
  <si>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</si>
  <si>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</si>
  <si>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</si>
  <si>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</si>
  <si>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</si>
  <si>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</si>
  <si>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</si>
  <si>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</si>
  <si>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</si>
  <si>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</si>
  <si>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</si>
  <si>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</si>
  <si>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</si>
  <si>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</si>
  <si>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</si>
  <si>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</si>
  <si>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</si>
  <si>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</si>
  <si>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</si>
  <si>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</si>
  <si>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</si>
  <si>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</si>
  <si>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</si>
  <si>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</si>
  <si>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</si>
  <si>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</si>
  <si>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</si>
  <si>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</si>
  <si>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</si>
  <si>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</si>
  <si>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</si>
  <si>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</si>
  <si>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</si>
  <si>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</si>
  <si>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</si>
  <si>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</si>
  <si>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</si>
  <si>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</si>
  <si>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</si>
  <si>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</si>
  <si>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</si>
  <si>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</si>
  <si>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</si>
  <si>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</si>
  <si>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</si>
  <si>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</si>
  <si>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</si>
  <si>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</si>
  <si>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</si>
  <si>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</si>
  <si>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</si>
  <si>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</si>
  <si>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</si>
  <si>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</si>
  <si>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</si>
  <si>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</si>
  <si>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</si>
  <si>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</si>
  <si>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</si>
  <si>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</si>
  <si>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</si>
  <si>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</si>
  <si>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</si>
  <si>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</si>
  <si>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</si>
  <si>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</si>
  <si>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</si>
  <si>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</si>
  <si>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</si>
  <si>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</si>
  <si>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</si>
  <si>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</si>
  <si>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</si>
  <si>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</si>
  <si>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</si>
  <si>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</si>
  <si>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</si>
  <si>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</si>
  <si>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</si>
  <si>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</si>
  <si>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</si>
  <si>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</si>
  <si>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</si>
  <si>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</si>
  <si>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</si>
  <si>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</si>
  <si>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</si>
  <si>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</si>
  <si>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</si>
  <si>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</si>
  <si>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</si>
  <si>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</si>
  <si>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</si>
  <si>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</si>
  <si>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</si>
  <si>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</si>
  <si>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</si>
  <si>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</si>
  <si>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</si>
  <si>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</si>
  <si>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</si>
  <si>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</si>
  <si>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</si>
  <si>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</si>
  <si>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</si>
  <si>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</si>
  <si>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</si>
  <si>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</si>
  <si>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</si>
  <si>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</si>
  <si>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</si>
  <si>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</si>
  <si>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</si>
  <si>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</si>
  <si>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</si>
  <si>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</si>
  <si>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</si>
  <si>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</si>
  <si>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</si>
  <si>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</si>
  <si>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</si>
  <si>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</si>
  <si>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</si>
  <si>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</si>
  <si>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</si>
  <si>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</si>
  <si>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</si>
  <si>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</si>
  <si>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</si>
  <si>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</si>
  <si>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</si>
  <si>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</si>
  <si>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</si>
  <si>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</si>
  <si>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</si>
  <si>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</si>
  <si>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</si>
  <si>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</si>
  <si>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</si>
  <si>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</si>
  <si>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</si>
  <si>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</si>
  <si>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</si>
  <si>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</si>
  <si>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</si>
  <si>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</si>
  <si>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</si>
  <si>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</si>
  <si>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</si>
  <si>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</si>
  <si>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</si>
  <si>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</si>
  <si>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</si>
  <si>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</si>
  <si>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</si>
  <si>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</si>
  <si>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</si>
  <si>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</si>
  <si>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</si>
  <si>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</si>
  <si>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</si>
  <si>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</si>
  <si>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</si>
  <si>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</si>
  <si>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</si>
  <si>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</si>
  <si>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</si>
  <si>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</si>
  <si>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</si>
  <si>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</si>
  <si>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</si>
  <si>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</si>
  <si>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</si>
  <si>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</si>
  <si>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</si>
  <si>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</si>
  <si>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</si>
  <si>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</si>
  <si>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</si>
  <si>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</si>
  <si>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</si>
  <si>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</si>
  <si>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</si>
  <si>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</si>
  <si>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</si>
  <si>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</si>
  <si>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</si>
  <si>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</si>
  <si>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</si>
  <si>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</si>
  <si>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</si>
  <si>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</si>
  <si>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</si>
  <si>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</si>
  <si>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</si>
  <si>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</si>
  <si>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</si>
  <si>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</si>
  <si>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</si>
  <si>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</si>
  <si>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</si>
  <si>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</si>
  <si>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</si>
  <si>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</si>
  <si>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</si>
  <si>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</si>
  <si>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</si>
  <si>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</si>
  <si>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</si>
  <si>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</si>
  <si>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</si>
  <si>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</si>
  <si>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</si>
  <si>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</si>
  <si>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</si>
  <si>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</si>
  <si>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</si>
  <si>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</si>
  <si>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</si>
  <si>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</si>
  <si>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</si>
  <si>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</si>
  <si>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</si>
  <si>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</si>
  <si>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</si>
  <si>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</si>
  <si>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</si>
  <si>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</si>
  <si>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</si>
  <si>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</si>
  <si>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</si>
  <si>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</si>
  <si>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</si>
  <si>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</si>
  <si>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</si>
  <si>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</si>
  <si>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</si>
  <si>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</si>
  <si>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</si>
  <si>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</si>
  <si>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</si>
  <si>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</si>
  <si>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</si>
  <si>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</si>
  <si>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</si>
  <si>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</si>
  <si>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</si>
  <si>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</si>
  <si>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</si>
  <si>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</si>
  <si>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</si>
  <si>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</si>
  <si>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</si>
  <si>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</si>
  <si>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</si>
  <si>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</si>
  <si>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</si>
  <si>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</si>
  <si>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</si>
  <si>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</si>
  <si>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</si>
  <si>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</si>
  <si>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</si>
  <si>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</si>
  <si>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</si>
  <si>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</si>
  <si>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</si>
  <si>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</si>
  <si>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</si>
  <si>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</si>
  <si>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</si>
  <si>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</si>
  <si>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</si>
  <si>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</si>
  <si>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</si>
  <si>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</si>
  <si>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</si>
  <si>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</si>
  <si>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</si>
  <si>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</si>
  <si>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</si>
  <si>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</si>
  <si>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</si>
  <si>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</si>
  <si>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</si>
  <si>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</si>
  <si>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</si>
  <si>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</si>
  <si>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</si>
  <si>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</si>
  <si>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</si>
  <si>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</si>
  <si>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</si>
  <si>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</si>
  <si>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</si>
  <si>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</si>
  <si>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</si>
  <si>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</si>
  <si>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</si>
  <si>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</si>
  <si>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</si>
  <si>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</si>
  <si>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</si>
  <si>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</si>
  <si>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</si>
  <si>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</si>
  <si>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</si>
  <si>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</si>
  <si>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</si>
  <si>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</si>
  <si>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</si>
  <si>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</si>
  <si>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</si>
  <si>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</si>
  <si>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</si>
  <si>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</si>
  <si>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</si>
  <si>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</si>
  <si>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</si>
  <si>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</si>
  <si>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</si>
  <si>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</si>
  <si>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</si>
  <si>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</si>
  <si>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</si>
  <si>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</si>
  <si>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</si>
  <si>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</si>
  <si>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</si>
  <si>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</si>
  <si>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</si>
  <si>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</si>
  <si>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</si>
  <si>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</si>
  <si>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</si>
  <si>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</si>
  <si>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</si>
  <si>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</si>
  <si>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</si>
  <si>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</si>
  <si>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</si>
  <si>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</si>
  <si>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</si>
  <si>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</si>
  <si>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</si>
  <si>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</si>
  <si>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</si>
  <si>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</si>
  <si>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</si>
  <si>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</si>
  <si>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</si>
  <si>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</si>
  <si>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</si>
  <si>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</si>
  <si>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</si>
  <si>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</si>
  <si>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</si>
  <si>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</si>
  <si>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</si>
  <si>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</si>
  <si>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</si>
  <si>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</si>
  <si>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</si>
  <si>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</si>
  <si>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</si>
  <si>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</si>
  <si>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</si>
  <si>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</si>
  <si>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</si>
  <si>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</si>
  <si>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</si>
  <si>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</si>
  <si>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</si>
  <si>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</si>
  <si>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</si>
  <si>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</si>
  <si>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</si>
  <si>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</si>
  <si>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</si>
  <si>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</si>
  <si>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</si>
  <si>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</si>
  <si>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</si>
  <si>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</si>
  <si>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</si>
  <si>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</si>
  <si>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</si>
  <si>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</si>
  <si>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</si>
  <si>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</si>
  <si>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</si>
  <si>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</si>
  <si>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</si>
  <si>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</si>
  <si>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</si>
  <si>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</si>
  <si>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</si>
  <si>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</si>
  <si>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</si>
  <si>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</si>
  <si>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</si>
  <si>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</si>
  <si>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</si>
  <si>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</si>
  <si>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</si>
  <si>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</si>
  <si>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</si>
  <si>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</si>
  <si>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</si>
  <si>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</si>
  <si>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</si>
  <si>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</si>
  <si>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</si>
  <si>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</si>
  <si>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</si>
  <si>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</si>
  <si>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</si>
  <si>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</si>
  <si>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</si>
  <si>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</si>
  <si>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</si>
  <si>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</si>
  <si>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</si>
  <si>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</si>
  <si>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</si>
  <si>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</si>
  <si>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</si>
  <si>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</si>
  <si>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</si>
  <si>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</si>
  <si>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</si>
  <si>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</si>
  <si>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</si>
  <si>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</si>
  <si>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</si>
  <si>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</si>
  <si>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</si>
  <si>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</si>
  <si>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</si>
  <si>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</si>
  <si>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</si>
  <si>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</si>
  <si>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</si>
  <si>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</si>
  <si>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</si>
  <si>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</si>
  <si>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</si>
  <si>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</si>
  <si>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</si>
  <si>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</si>
  <si>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</si>
  <si>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</si>
  <si>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</si>
  <si>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</si>
  <si>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</si>
  <si>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</si>
  <si>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</si>
  <si>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</si>
  <si>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</si>
  <si>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</si>
  <si>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</si>
  <si>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</si>
  <si>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</si>
  <si>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</si>
  <si>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</si>
  <si>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</si>
  <si>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</si>
  <si>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</si>
  <si>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</si>
  <si>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</si>
  <si>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</si>
  <si>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</si>
  <si>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</si>
  <si>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</si>
  <si>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</si>
  <si>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</si>
  <si>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</si>
  <si>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</si>
  <si>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</si>
  <si>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</si>
  <si>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</si>
  <si>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</si>
  <si>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</si>
  <si>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</si>
  <si>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</si>
  <si>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</si>
  <si>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</si>
  <si>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</si>
  <si>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</si>
  <si>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</si>
  <si>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</si>
  <si>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</si>
  <si>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</si>
  <si>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</si>
  <si>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</si>
  <si>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</si>
  <si>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</si>
  <si>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</si>
  <si>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</si>
  <si>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</si>
  <si>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</si>
  <si>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</si>
  <si>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</si>
  <si>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</si>
  <si>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</si>
  <si>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</si>
  <si>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</si>
  <si>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</si>
  <si>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</si>
  <si>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</si>
  <si>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</si>
  <si>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</si>
  <si>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</si>
  <si>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</si>
  <si>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</si>
  <si>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</si>
  <si>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</si>
  <si>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</si>
  <si>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</si>
  <si>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</si>
  <si>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</si>
  <si>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</si>
  <si>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</si>
  <si>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</si>
  <si>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</si>
  <si>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</si>
  <si>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</si>
  <si>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</si>
  <si>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</si>
  <si>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</si>
  <si>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</si>
  <si>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</si>
  <si>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</si>
  <si>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</si>
  <si>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</si>
  <si>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</si>
  <si>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</si>
  <si>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</si>
  <si>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</si>
  <si>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</si>
  <si>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</si>
  <si>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</si>
  <si>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</si>
  <si>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</si>
  <si>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</si>
  <si>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</si>
  <si>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</si>
  <si>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</si>
  <si>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</si>
  <si>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</si>
  <si>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</si>
  <si>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</si>
  <si>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</si>
  <si>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</si>
  <si>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</si>
  <si>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</si>
  <si>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</si>
  <si>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</si>
  <si>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</si>
  <si>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</si>
  <si>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</si>
  <si>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</si>
  <si>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</si>
  <si>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</si>
  <si>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</si>
  <si>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</si>
  <si>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</si>
  <si>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</si>
  <si>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</si>
  <si>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</si>
  <si>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</si>
  <si>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</si>
  <si>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</si>
  <si>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</si>
  <si>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</si>
  <si>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</si>
  <si>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</si>
  <si>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</si>
  <si>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</si>
  <si>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</si>
  <si>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</si>
  <si>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</si>
  <si>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</si>
  <si>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</si>
  <si>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</si>
  <si>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</si>
  <si>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</si>
  <si>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</si>
  <si>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</si>
  <si>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</si>
  <si>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</si>
  <si>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</si>
  <si>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</si>
  <si>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</si>
  <si>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</si>
  <si>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</si>
  <si>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</si>
  <si>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</si>
  <si>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</si>
  <si>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</si>
  <si>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</si>
  <si>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</si>
  <si>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</si>
  <si>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</si>
  <si>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</si>
  <si>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</si>
  <si>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</si>
  <si>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</si>
  <si>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</si>
  <si>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</si>
  <si>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</si>
  <si>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</si>
  <si>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</si>
  <si>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</si>
  <si>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</si>
  <si>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</si>
  <si>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</si>
  <si>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</si>
  <si>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</si>
  <si>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</si>
  <si>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</si>
  <si>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</si>
  <si>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</si>
  <si>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</si>
  <si>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</si>
  <si>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</si>
  <si>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</si>
  <si>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</si>
  <si>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</si>
  <si>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</si>
  <si>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</si>
  <si>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</si>
  <si>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</si>
  <si>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</si>
  <si>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</si>
  <si>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</si>
  <si>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</si>
  <si>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</si>
  <si>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</si>
  <si>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</si>
  <si>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</si>
  <si>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</si>
  <si>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</si>
  <si>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</si>
  <si>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</si>
  <si>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</si>
  <si>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</si>
  <si>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</si>
  <si>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</si>
  <si>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</si>
  <si>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</si>
  <si>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</si>
  <si>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</si>
  <si>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</si>
  <si>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</si>
  <si>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</si>
  <si>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</si>
  <si>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</si>
  <si>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</si>
  <si>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</si>
  <si>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</si>
  <si>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</si>
  <si>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</si>
  <si>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</si>
  <si>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</si>
  <si>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</si>
  <si>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</si>
  <si>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</si>
  <si>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</si>
  <si>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</si>
  <si>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</si>
  <si>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</si>
  <si>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</si>
  <si>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</si>
  <si>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</si>
  <si>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</si>
  <si>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</si>
  <si>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</si>
  <si>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</si>
  <si>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</si>
  <si>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</si>
  <si>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</si>
  <si>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</si>
  <si>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</si>
  <si>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</si>
  <si>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</si>
  <si>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</si>
  <si>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</si>
  <si>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</si>
  <si>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</si>
  <si>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</si>
  <si>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</si>
  <si>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</si>
  <si>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</si>
  <si>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</si>
  <si>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</si>
  <si>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</si>
  <si>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</si>
  <si>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</si>
  <si>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</si>
  <si>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</si>
  <si>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</si>
  <si>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</si>
  <si>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</si>
  <si>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</si>
  <si>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</si>
  <si>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</si>
  <si>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</si>
  <si>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</si>
  <si>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</si>
  <si>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</si>
  <si>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</si>
  <si>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</si>
  <si>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</si>
  <si>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</si>
  <si>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</si>
  <si>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</si>
  <si>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</si>
  <si>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</si>
  <si>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</si>
  <si>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</si>
  <si>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</si>
  <si>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</si>
  <si>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</si>
  <si>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</si>
  <si>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</si>
  <si>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</si>
  <si>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</si>
  <si>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</si>
  <si>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</si>
  <si>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</si>
  <si>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</si>
  <si>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</si>
  <si>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</si>
  <si>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</si>
  <si>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</si>
  <si>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</si>
  <si>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</si>
  <si>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</si>
  <si>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</si>
  <si>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</si>
  <si>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</si>
  <si>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</si>
  <si>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</si>
  <si>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</si>
  <si>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</si>
  <si>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</si>
  <si>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</si>
  <si>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</si>
  <si>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</si>
  <si>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</si>
  <si>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</si>
  <si>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</si>
  <si>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</si>
  <si>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</si>
  <si>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</si>
  <si>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</si>
  <si>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</si>
  <si>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</si>
  <si>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</si>
  <si>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</si>
  <si>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</si>
  <si>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</si>
  <si>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</si>
  <si>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</si>
  <si>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</si>
  <si>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</si>
  <si>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</si>
  <si>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</si>
  <si>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</si>
  <si>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</si>
  <si>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</si>
  <si>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</si>
  <si>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</si>
  <si>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</si>
  <si>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</si>
  <si>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</si>
  <si>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</si>
  <si>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</si>
  <si>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</si>
  <si>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</si>
  <si>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</si>
  <si>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</si>
  <si>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</si>
  <si>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</si>
  <si>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</si>
  <si>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</si>
  <si>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</si>
  <si>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</si>
  <si>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</si>
  <si>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</si>
  <si>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</si>
  <si>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</si>
  <si>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</si>
  <si>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</si>
  <si>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</si>
  <si>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</si>
  <si>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</si>
  <si>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</si>
  <si>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</si>
  <si>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</si>
  <si>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</si>
  <si>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</si>
  <si>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</si>
  <si>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</si>
  <si>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</si>
  <si>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</si>
  <si>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</si>
  <si>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</si>
  <si>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</si>
  <si>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</si>
  <si>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</si>
  <si>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</si>
  <si>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</si>
  <si>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</si>
  <si>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</si>
  <si>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</si>
  <si>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</si>
  <si>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</si>
  <si>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</si>
  <si>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</si>
  <si>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</si>
  <si>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</si>
  <si>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</si>
  <si>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</si>
  <si>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</si>
  <si>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</si>
  <si>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</si>
  <si>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</si>
  <si>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</si>
  <si>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</si>
  <si>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</si>
  <si>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</si>
  <si>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</si>
  <si>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</si>
  <si>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</si>
  <si>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</si>
  <si>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</si>
  <si>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</si>
  <si>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</si>
  <si>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</si>
  <si>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</si>
  <si>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</si>
  <si>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</si>
  <si>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</si>
  <si>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</si>
  <si>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</si>
  <si>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</si>
  <si>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</si>
  <si>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</si>
  <si>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</si>
  <si>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</si>
  <si>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</si>
  <si>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</si>
  <si>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</si>
  <si>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</si>
  <si>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</si>
  <si>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</si>
  <si>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</si>
  <si>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</si>
  <si>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</si>
  <si>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</si>
  <si>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</si>
  <si>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</si>
  <si>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</si>
  <si>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</si>
  <si>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</si>
  <si>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</si>
  <si>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</si>
  <si>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</si>
  <si>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</si>
  <si>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</si>
  <si>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</si>
  <si>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</si>
  <si>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</si>
  <si>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</si>
  <si>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</si>
  <si>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</si>
  <si>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</si>
  <si>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</si>
  <si>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</si>
  <si>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</si>
  <si>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</si>
  <si>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</si>
  <si>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</si>
  <si>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</si>
  <si>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</si>
  <si>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</si>
  <si>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</si>
  <si>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</si>
  <si>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</si>
  <si>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</si>
  <si>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</si>
  <si>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</si>
  <si>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</si>
  <si>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</si>
  <si>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</si>
  <si>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</si>
  <si>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</si>
  <si>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</si>
  <si>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</si>
  <si>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</si>
  <si>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</si>
  <si>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</si>
  <si>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</si>
  <si>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</si>
  <si>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</si>
  <si>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</si>
  <si>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</si>
  <si>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</si>
  <si>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</si>
  <si>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</si>
  <si>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</si>
  <si>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</si>
  <si>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</si>
  <si>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</si>
  <si>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</si>
  <si>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</si>
  <si>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</si>
  <si>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</si>
  <si>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</si>
  <si>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</si>
  <si>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</si>
  <si>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</si>
  <si>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</si>
  <si>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</si>
  <si>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</si>
  <si>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</si>
  <si>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</si>
  <si>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</si>
  <si>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</si>
  <si>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</si>
  <si>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</si>
  <si>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</si>
  <si>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</si>
  <si>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</si>
  <si>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</si>
  <si>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</si>
  <si>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</si>
  <si>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</si>
  <si>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</si>
  <si>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</si>
  <si>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</si>
  <si>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</si>
  <si>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</si>
  <si>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</si>
  <si>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</si>
  <si>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</si>
  <si>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</si>
  <si>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</si>
  <si>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</si>
  <si>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</si>
  <si>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</si>
  <si>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</si>
  <si>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</si>
  <si>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</si>
  <si>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</si>
  <si>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</si>
  <si>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</si>
  <si>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</si>
  <si>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</si>
  <si>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</si>
  <si>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</si>
  <si>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</si>
  <si>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</si>
  <si>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</si>
  <si>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</si>
  <si>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</si>
  <si>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</si>
  <si>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</si>
  <si>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</si>
  <si>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</si>
  <si>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</si>
  <si>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</si>
  <si>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</si>
  <si>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</si>
  <si>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</si>
  <si>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</si>
  <si>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</si>
  <si>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</si>
  <si>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</si>
  <si>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</si>
  <si>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</si>
  <si>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</si>
  <si>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</si>
  <si>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</si>
  <si>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</si>
  <si>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</si>
  <si>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</si>
  <si>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</si>
  <si>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</si>
  <si>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</si>
  <si>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</si>
  <si>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</si>
  <si>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</si>
  <si>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</si>
  <si>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</si>
  <si>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</si>
  <si>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</si>
  <si>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</si>
  <si>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</si>
  <si>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</si>
  <si>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</si>
  <si>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</si>
  <si>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</si>
  <si>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</si>
  <si>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</si>
  <si>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</si>
  <si>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</si>
  <si>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</si>
  <si>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</si>
  <si>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</si>
  <si>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</si>
  <si>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</si>
  <si>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</si>
  <si>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</si>
  <si>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</si>
  <si>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</si>
  <si>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</si>
  <si>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</si>
  <si>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</si>
  <si>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</si>
  <si>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</si>
  <si>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</si>
  <si>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</si>
  <si>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</si>
  <si>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</si>
  <si>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</si>
  <si>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</si>
  <si>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</si>
  <si>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</si>
  <si>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</si>
  <si>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</si>
  <si>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</si>
  <si>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</si>
  <si>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</si>
  <si>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</si>
  <si>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</si>
  <si>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</si>
  <si>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</si>
  <si>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</si>
  <si>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</si>
  <si>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</si>
  <si>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</si>
  <si>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</si>
  <si>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</si>
  <si>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</si>
  <si>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</si>
  <si>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</si>
  <si>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</si>
  <si>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</si>
  <si>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</si>
  <si>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</si>
  <si>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</si>
  <si>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</si>
  <si>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</si>
  <si>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</si>
  <si>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</si>
  <si>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</si>
  <si>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</si>
  <si>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</si>
  <si>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</si>
  <si>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</si>
  <si>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</si>
  <si>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</si>
  <si>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</si>
  <si>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</si>
  <si>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</si>
  <si>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</si>
  <si>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</si>
  <si>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</si>
  <si>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</si>
  <si>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</si>
  <si>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</si>
  <si>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</si>
  <si>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</si>
  <si>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</si>
  <si>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</si>
  <si>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</si>
  <si>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</si>
  <si>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</si>
  <si>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</si>
  <si>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</si>
  <si>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</si>
  <si>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</si>
  <si>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</si>
  <si>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</si>
  <si>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</si>
  <si>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</si>
  <si>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</si>
  <si>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</si>
  <si>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</si>
  <si>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</si>
  <si>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</si>
  <si>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</si>
  <si>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</si>
  <si>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</si>
  <si>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</si>
  <si>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</si>
  <si>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</si>
  <si>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</si>
  <si>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</si>
  <si>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</si>
  <si>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</si>
  <si>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</si>
  <si>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</si>
  <si>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</si>
  <si>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</si>
  <si>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</si>
  <si>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</si>
  <si>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</si>
  <si>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</si>
  <si>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</si>
  <si>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</si>
  <si>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</si>
  <si>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</si>
  <si>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</si>
  <si>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</si>
  <si>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</si>
  <si>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</si>
  <si>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</si>
  <si>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</si>
  <si>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</si>
  <si>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</si>
  <si>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</si>
  <si>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</si>
  <si>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</si>
  <si>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</si>
  <si>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</si>
  <si>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</si>
  <si>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</si>
  <si>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</si>
  <si>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</si>
  <si>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</si>
  <si>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</si>
  <si>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</si>
  <si>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</si>
  <si>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</si>
  <si>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</si>
  <si>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</si>
  <si>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</si>
  <si>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</si>
  <si>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</si>
  <si>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</si>
  <si>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</si>
  <si>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</si>
  <si>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</si>
  <si>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</si>
  <si>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</si>
  <si>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</si>
  <si>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</si>
  <si>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</si>
  <si>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</si>
  <si>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</si>
  <si>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</si>
  <si>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</si>
  <si>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</si>
  <si>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</si>
  <si>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</si>
  <si>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</si>
  <si>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</si>
  <si>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</si>
  <si>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</si>
  <si>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</si>
  <si>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</si>
  <si>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</si>
  <si>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</si>
  <si>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</si>
  <si>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</si>
  <si>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</si>
  <si>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</si>
  <si>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</si>
  <si>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</si>
  <si>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</si>
  <si>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</si>
  <si>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</si>
  <si>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</si>
  <si>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</si>
  <si>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</si>
  <si>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</si>
  <si>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</si>
  <si>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</si>
  <si>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</si>
  <si>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</si>
  <si>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</si>
  <si>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</si>
  <si>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</si>
  <si>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</si>
  <si>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</si>
  <si>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</si>
  <si>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</si>
  <si>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</si>
  <si>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</si>
  <si>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</si>
  <si>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</si>
  <si>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</si>
  <si>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</si>
  <si>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</si>
  <si>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</si>
  <si>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</si>
  <si>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</si>
  <si>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</si>
  <si>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</si>
  <si>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</si>
  <si>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</si>
  <si>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</si>
  <si>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</si>
  <si>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</si>
  <si>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</si>
  <si>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</si>
  <si>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</si>
  <si>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</si>
  <si>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</si>
  <si>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</si>
  <si>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</si>
  <si>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</si>
  <si>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</si>
  <si>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</si>
  <si>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</si>
  <si>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</si>
  <si>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</si>
  <si>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</si>
  <si>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</si>
  <si>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</si>
  <si>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</si>
  <si>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</si>
  <si>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</si>
  <si>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</si>
  <si>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</si>
  <si>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</si>
  <si>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</si>
  <si>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</si>
  <si>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</si>
  <si>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</si>
  <si>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</si>
  <si>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</si>
  <si>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</si>
  <si>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</si>
  <si>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</si>
  <si>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</si>
  <si>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</si>
  <si>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</si>
  <si>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</si>
  <si>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</si>
  <si>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</si>
  <si>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</si>
  <si>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</si>
  <si>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</si>
  <si>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</si>
  <si>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</si>
  <si>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</si>
  <si>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</si>
  <si>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</si>
  <si>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</si>
  <si>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</si>
  <si>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</si>
  <si>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</si>
  <si>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</si>
  <si>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</si>
  <si>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</si>
  <si>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</si>
  <si>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</si>
  <si>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</si>
  <si>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</si>
  <si>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</si>
  <si>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</si>
  <si>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</si>
  <si>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</si>
  <si>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</si>
  <si>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</si>
  <si>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</si>
  <si>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</si>
  <si>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</si>
  <si>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</si>
  <si>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</si>
  <si>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</si>
  <si>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</si>
  <si>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</si>
  <si>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</si>
  <si>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</si>
  <si>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</si>
  <si>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</si>
  <si>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</si>
  <si>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</si>
  <si>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</si>
  <si>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</si>
  <si>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</si>
  <si>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</si>
  <si>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</si>
  <si>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</si>
  <si>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</si>
  <si>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</si>
  <si>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</si>
  <si>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</si>
  <si>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</si>
  <si>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</si>
  <si>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</si>
  <si>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</si>
  <si>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</si>
  <si>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</si>
  <si>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</si>
  <si>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</si>
  <si>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</si>
  <si>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</si>
  <si>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</si>
  <si>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</si>
  <si>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</si>
  <si>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</si>
  <si>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</si>
  <si>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</si>
  <si>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</si>
  <si>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</si>
  <si>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</si>
  <si>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</si>
  <si>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</si>
  <si>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</si>
  <si>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</si>
  <si>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</si>
  <si>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</si>
  <si>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</si>
  <si>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</si>
  <si>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</si>
  <si>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</si>
  <si>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</si>
  <si>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</si>
  <si>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</si>
  <si>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</si>
  <si>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</si>
  <si>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</si>
  <si>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</si>
  <si>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</si>
  <si>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</si>
  <si>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</si>
  <si>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</si>
  <si>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</si>
  <si>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</si>
  <si>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</si>
  <si>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</si>
  <si>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</si>
  <si>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</si>
  <si>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</si>
  <si>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</si>
  <si>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</si>
  <si>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</si>
  <si>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</si>
  <si>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</si>
  <si>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</si>
  <si>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</si>
  <si>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</si>
  <si>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</si>
  <si>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</si>
  <si>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</si>
  <si>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</si>
  <si>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</si>
  <si>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</si>
  <si>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</si>
  <si>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</si>
  <si>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</si>
  <si>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</si>
  <si>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</si>
  <si>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</si>
  <si>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</si>
  <si>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</si>
  <si>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</si>
  <si>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</si>
  <si>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</si>
  <si>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</si>
  <si>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</si>
  <si>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</si>
  <si>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</si>
  <si>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</si>
  <si>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</si>
  <si>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</si>
  <si>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</si>
  <si>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</si>
  <si>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</si>
  <si>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</si>
  <si>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</si>
  <si>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</si>
  <si>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</si>
  <si>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</si>
  <si>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</si>
  <si>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</si>
  <si>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</si>
  <si>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</si>
  <si>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</si>
  <si>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</si>
  <si>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</si>
  <si>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</si>
  <si>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</si>
  <si>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</si>
  <si>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</si>
  <si>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</si>
  <si>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</si>
  <si>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</si>
  <si>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</si>
  <si>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</si>
  <si>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</si>
  <si>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</si>
  <si>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</si>
  <si>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</si>
  <si>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</si>
  <si>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</si>
  <si>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</si>
  <si>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</si>
  <si>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</si>
  <si>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</si>
  <si>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</si>
  <si>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</si>
  <si>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</si>
  <si>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</si>
  <si>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</si>
  <si>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</si>
  <si>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</si>
  <si>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</si>
  <si>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</si>
  <si>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</si>
  <si>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</si>
  <si>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</si>
  <si>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</si>
  <si>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</si>
  <si>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</si>
  <si>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</si>
  <si>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</si>
  <si>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</si>
  <si>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</si>
  <si>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</si>
  <si>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</si>
  <si>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</si>
  <si>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</si>
  <si>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</si>
  <si>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</si>
  <si>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</si>
  <si>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</si>
  <si>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</si>
  <si>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</si>
  <si>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</si>
  <si>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</si>
  <si>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</si>
  <si>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</si>
  <si>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</si>
  <si>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</si>
  <si>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</si>
  <si>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</si>
  <si>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</si>
  <si>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</si>
  <si>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</si>
  <si>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</si>
  <si>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</si>
  <si>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</si>
  <si>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</si>
  <si>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</si>
  <si>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</si>
  <si>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</si>
  <si>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</si>
  <si>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</si>
  <si>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</si>
  <si>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</si>
  <si>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</si>
  <si>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</si>
  <si>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</si>
  <si>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</si>
  <si>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</si>
  <si>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</si>
  <si>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</si>
  <si>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</si>
  <si>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</si>
  <si>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</si>
  <si>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</si>
  <si>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</si>
  <si>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</si>
  <si>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</si>
  <si>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</si>
  <si>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</si>
  <si>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</si>
  <si>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</si>
  <si>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</si>
  <si>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</si>
  <si>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</si>
  <si>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</si>
  <si>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</si>
  <si>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</si>
  <si>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</si>
  <si>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</si>
  <si>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</si>
  <si>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</si>
  <si>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</si>
  <si>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</si>
  <si>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</si>
  <si>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</si>
  <si>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</si>
  <si>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</si>
  <si>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</si>
  <si>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</si>
  <si>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</si>
  <si>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</si>
  <si>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</si>
  <si>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</si>
  <si>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</si>
  <si>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</si>
  <si>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</si>
  <si>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</si>
  <si>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</si>
  <si>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</si>
  <si>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</si>
  <si>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</si>
  <si>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</si>
  <si>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</si>
  <si>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</si>
  <si>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</si>
  <si>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</si>
  <si>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</si>
  <si>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</si>
  <si>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</si>
  <si>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</si>
  <si>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</si>
  <si>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</si>
  <si>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</si>
  <si>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</si>
  <si>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</si>
  <si>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</si>
  <si>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</si>
  <si>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</si>
  <si>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</si>
  <si>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</si>
  <si>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</si>
  <si>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</si>
  <si>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</si>
  <si>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</si>
  <si>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</si>
  <si>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</si>
  <si>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</si>
  <si>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</si>
  <si>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</si>
  <si>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</si>
  <si>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</si>
  <si>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</si>
  <si>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</si>
  <si>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</si>
  <si>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</si>
  <si>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</si>
  <si>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</si>
  <si>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</si>
  <si>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</si>
  <si>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</si>
  <si>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</si>
  <si>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</si>
  <si>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</si>
  <si>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</si>
  <si>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</si>
  <si>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</si>
  <si>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</si>
  <si>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</si>
  <si>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</si>
  <si>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</si>
  <si>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</si>
  <si>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</si>
  <si>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</si>
  <si>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</si>
  <si>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</si>
  <si>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</si>
  <si>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</si>
  <si>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</si>
  <si>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</si>
  <si>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</si>
  <si>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</si>
  <si>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</si>
  <si>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</si>
  <si>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</si>
  <si>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</si>
  <si>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</si>
  <si>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</si>
  <si>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</si>
  <si>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</si>
  <si>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</si>
  <si>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</si>
  <si>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</si>
  <si>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</si>
  <si>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</si>
  <si>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</si>
  <si>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</si>
  <si>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</si>
  <si>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</si>
  <si>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</si>
  <si>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</si>
  <si>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</si>
  <si>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</si>
  <si>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</si>
  <si>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</si>
  <si>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</si>
  <si>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</si>
  <si>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</si>
  <si>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</si>
  <si>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</si>
  <si>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</si>
  <si>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</si>
  <si>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</si>
  <si>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</si>
  <si>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</si>
  <si>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</si>
  <si>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</si>
  <si>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</si>
  <si>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</si>
  <si>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</si>
  <si>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</si>
  <si>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</si>
  <si>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</si>
  <si>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</si>
  <si>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</si>
  <si>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</si>
  <si>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</si>
  <si>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</si>
  <si>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</si>
  <si>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</si>
  <si>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</si>
  <si>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</si>
  <si>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</si>
  <si>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</si>
  <si>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</si>
  <si>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</si>
  <si>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</si>
  <si>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</si>
  <si>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</si>
  <si>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</si>
  <si>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</si>
  <si>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</si>
  <si>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</si>
  <si>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</si>
  <si>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</si>
  <si>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</si>
  <si>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</si>
  <si>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</si>
  <si>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</si>
  <si>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</si>
  <si>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</si>
  <si>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</si>
  <si>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</si>
  <si>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</si>
  <si>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</si>
  <si>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</si>
  <si>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</si>
  <si>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</si>
  <si>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</si>
  <si>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</si>
  <si>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</si>
  <si>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</si>
  <si>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</si>
  <si>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</si>
  <si>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</si>
  <si>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</si>
  <si>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</si>
  <si>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</si>
  <si>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</si>
  <si>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</si>
  <si>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</si>
  <si>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</si>
  <si>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</si>
  <si>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</si>
  <si>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</si>
  <si>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</si>
  <si>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</si>
  <si>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</si>
  <si>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</si>
  <si>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</si>
  <si>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</si>
  <si>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</si>
  <si>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</si>
  <si>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</si>
  <si>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</si>
  <si>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</si>
  <si>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</si>
  <si>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</si>
  <si>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</si>
  <si>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</si>
  <si>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</si>
  <si>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</si>
  <si>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</si>
  <si>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</si>
  <si>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</si>
  <si>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</si>
  <si>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</si>
  <si>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</si>
  <si>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</si>
  <si>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</si>
  <si>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</si>
  <si>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</si>
  <si>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</si>
  <si>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</si>
  <si>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</si>
  <si>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</si>
  <si>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</si>
  <si>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</si>
  <si>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</si>
  <si>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</si>
  <si>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</si>
  <si>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</si>
  <si>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</si>
  <si>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</si>
  <si>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</si>
  <si>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</si>
  <si>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</si>
  <si>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</si>
  <si>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</si>
  <si>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</si>
  <si>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</si>
  <si>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</si>
  <si>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</si>
  <si>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</si>
  <si>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</si>
  <si>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</si>
  <si>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</si>
  <si>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</si>
  <si>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</si>
  <si>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</si>
  <si>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</si>
  <si>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</si>
  <si>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</si>
  <si>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</si>
  <si>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</si>
  <si>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</si>
  <si>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</si>
  <si>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</si>
  <si>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</si>
  <si>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</si>
  <si>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</si>
  <si>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</si>
  <si>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</si>
  <si>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</si>
  <si>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</si>
  <si>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</si>
  <si>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</si>
  <si>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</si>
  <si>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</si>
  <si>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</si>
  <si>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</si>
  <si>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</si>
  <si>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</si>
  <si>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</si>
  <si>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</si>
  <si>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</si>
  <si>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</si>
  <si>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</si>
  <si>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</si>
  <si>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</si>
  <si>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</si>
  <si>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</si>
  <si>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</si>
  <si>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</si>
  <si>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</si>
  <si>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</si>
  <si>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</si>
  <si>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</si>
  <si>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</si>
  <si>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</si>
  <si>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</si>
  <si>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</si>
  <si>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</si>
  <si>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</si>
  <si>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</si>
  <si>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</si>
  <si>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</si>
  <si>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</si>
  <si>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</si>
  <si>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</si>
  <si>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</si>
  <si>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</si>
  <si>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</si>
  <si>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</si>
  <si>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</si>
  <si>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</si>
  <si>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</si>
  <si>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</si>
  <si>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</si>
  <si>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</si>
  <si>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</si>
  <si>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</si>
  <si>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</si>
  <si>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</si>
  <si>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</si>
  <si>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</si>
  <si>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</si>
  <si>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</si>
  <si>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</si>
  <si>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</si>
  <si>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</si>
  <si>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</si>
  <si>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</si>
  <si>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</si>
  <si>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</si>
  <si>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</si>
  <si>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</si>
  <si>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</si>
  <si>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</si>
  <si>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</si>
  <si>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</si>
  <si>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</si>
  <si>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</si>
  <si>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</si>
  <si>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</si>
  <si>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</si>
  <si>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</si>
  <si>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</si>
  <si>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</si>
  <si>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</si>
  <si>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</si>
  <si>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</si>
  <si>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</si>
  <si>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</si>
  <si>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</si>
  <si>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</si>
  <si>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</si>
  <si>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</si>
  <si>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</si>
  <si>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</si>
  <si>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</si>
  <si>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</si>
  <si>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</si>
  <si>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</si>
  <si>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</si>
  <si>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</si>
  <si>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</si>
  <si>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</si>
  <si>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</si>
  <si>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</si>
  <si>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</si>
  <si>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</si>
  <si>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</si>
  <si>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</si>
  <si>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</si>
  <si>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</si>
  <si>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</si>
  <si>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</si>
  <si>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</si>
  <si>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</si>
  <si>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</si>
  <si>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</si>
  <si>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</si>
  <si>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</si>
  <si>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</si>
  <si>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</si>
  <si>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</si>
  <si>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</si>
  <si>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</si>
  <si>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</si>
  <si>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</si>
  <si>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</si>
  <si>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</si>
  <si>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</si>
  <si>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</si>
  <si>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</si>
  <si>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</si>
  <si>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</si>
  <si>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</si>
  <si>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</si>
  <si>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</si>
  <si>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</si>
  <si>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</si>
  <si>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</si>
  <si>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</si>
  <si>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</si>
  <si>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</si>
  <si>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</si>
  <si>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</si>
  <si>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</si>
  <si>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</si>
  <si>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</si>
  <si>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</si>
  <si>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</si>
  <si>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</si>
  <si>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</si>
  <si>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</si>
  <si>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</si>
  <si>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</si>
  <si>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</si>
  <si>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</si>
  <si>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</si>
  <si>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</si>
  <si>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</si>
  <si>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</si>
  <si>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</si>
  <si>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</si>
  <si>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</si>
  <si>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</si>
  <si>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</si>
  <si>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</si>
  <si>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</si>
  <si>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</si>
  <si>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</si>
  <si>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</si>
  <si>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</si>
  <si>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</si>
  <si>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</si>
  <si>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</si>
  <si>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</si>
  <si>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</si>
  <si>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</si>
  <si>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</si>
  <si>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</si>
  <si>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</si>
  <si>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</si>
  <si>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</si>
  <si>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</si>
  <si>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</si>
  <si>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</si>
  <si>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</si>
  <si>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</si>
  <si>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</si>
  <si>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</si>
  <si>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</si>
  <si>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</si>
  <si>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</si>
  <si>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</si>
  <si>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</si>
  <si>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</si>
  <si>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</si>
  <si>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</si>
  <si>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</si>
  <si>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</si>
  <si>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</si>
  <si>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</si>
  <si>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</si>
  <si>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</si>
  <si>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</si>
  <si>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</si>
  <si>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</si>
  <si>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</si>
  <si>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</si>
  <si>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</si>
  <si>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</si>
  <si>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</si>
  <si>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</si>
  <si>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</si>
  <si>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</si>
  <si>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</si>
  <si>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</si>
  <si>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</si>
  <si>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</si>
  <si>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</si>
  <si>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</si>
  <si>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</si>
  <si>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</si>
  <si>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</si>
  <si>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</si>
  <si>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</si>
  <si>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</si>
  <si>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</si>
  <si>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</si>
  <si>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</si>
  <si>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</si>
  <si>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</si>
  <si>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</si>
  <si>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</si>
  <si>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</si>
  <si>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</si>
  <si>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</si>
  <si>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</si>
  <si>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</si>
  <si>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</si>
  <si>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</si>
  <si>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</si>
  <si>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</si>
  <si>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</si>
  <si>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</si>
  <si>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</si>
  <si>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</si>
  <si>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</si>
  <si>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</si>
  <si>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</si>
  <si>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</si>
  <si>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</si>
  <si>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</si>
  <si>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</si>
  <si>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</si>
  <si>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</si>
  <si>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</si>
  <si>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</si>
  <si>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</si>
  <si>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</si>
  <si>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</si>
  <si>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</si>
  <si>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</si>
  <si>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</si>
  <si>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</si>
  <si>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</si>
  <si>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</si>
  <si>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</si>
  <si>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</si>
  <si>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</si>
  <si>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</si>
  <si>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</si>
  <si>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</si>
  <si>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</si>
  <si>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</si>
  <si>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</si>
  <si>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</si>
  <si>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</si>
  <si>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</si>
  <si>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</si>
  <si>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</si>
  <si>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</si>
  <si>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</si>
  <si>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</si>
  <si>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</si>
  <si>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</si>
  <si>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</si>
  <si>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</si>
  <si>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</si>
  <si>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</si>
  <si>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</si>
  <si>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</si>
  <si>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</si>
  <si>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</si>
  <si>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</si>
  <si>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</si>
  <si>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</si>
  <si>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</si>
  <si>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</si>
  <si>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</si>
  <si>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</si>
  <si>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</si>
  <si>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</si>
  <si>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</si>
  <si>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</si>
  <si>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</si>
  <si>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</si>
  <si>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</si>
  <si>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</si>
  <si>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</si>
  <si>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</si>
  <si>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</si>
  <si>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</si>
  <si>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</si>
  <si>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</si>
  <si>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</si>
  <si>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</si>
  <si>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</si>
  <si>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</si>
  <si>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</si>
  <si>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</si>
  <si>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</si>
  <si>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</si>
  <si>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</si>
  <si>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</si>
  <si>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</si>
  <si>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</si>
  <si>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</si>
  <si>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</si>
  <si>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</si>
  <si>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</si>
  <si>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</si>
  <si>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</si>
  <si>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</si>
  <si>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</si>
  <si>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</si>
  <si>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</si>
  <si>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</si>
  <si>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</si>
  <si>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</si>
  <si>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</si>
  <si>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</si>
  <si>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</si>
  <si>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</si>
  <si>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</si>
  <si>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</si>
  <si>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</si>
  <si>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</si>
  <si>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</si>
  <si>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</si>
  <si>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</si>
  <si>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</si>
  <si>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</si>
  <si>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</si>
  <si>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</si>
  <si>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</si>
  <si>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</si>
  <si>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</si>
  <si>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</si>
  <si>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</si>
  <si>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</si>
  <si>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</si>
  <si>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</si>
  <si>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</si>
  <si>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</si>
  <si>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</si>
  <si>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</si>
  <si>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</si>
  <si>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</si>
  <si>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</si>
  <si>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</si>
  <si>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</si>
  <si>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</si>
  <si>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</si>
  <si>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</si>
  <si>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</si>
  <si>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</si>
  <si>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</si>
  <si>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</si>
  <si>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</si>
  <si>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</si>
  <si>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</si>
  <si>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</si>
  <si>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</si>
  <si>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</si>
  <si>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</si>
  <si>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</si>
  <si>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</si>
  <si>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</si>
  <si>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</si>
  <si>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</si>
  <si>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</si>
  <si>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</si>
  <si>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</si>
  <si>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</si>
  <si>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</si>
  <si>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</si>
  <si>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</si>
  <si>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</si>
  <si>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</si>
  <si>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</si>
  <si>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</si>
  <si>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</si>
  <si>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</si>
  <si>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</si>
  <si>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</si>
  <si>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</si>
  <si>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</si>
  <si>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</si>
  <si>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</si>
  <si>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</si>
  <si>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</si>
  <si>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</si>
  <si>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</si>
  <si>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</si>
  <si>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</si>
  <si>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</si>
  <si>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</si>
  <si>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</si>
  <si>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</si>
  <si>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</si>
  <si>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</si>
  <si>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</si>
  <si>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</si>
  <si>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</si>
  <si>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</si>
  <si>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</si>
  <si>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</si>
  <si>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</si>
  <si>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</si>
  <si>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</si>
  <si>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</si>
  <si>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</si>
  <si>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</si>
  <si>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</si>
  <si>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</si>
  <si>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</si>
  <si>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</si>
  <si>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</si>
  <si>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</si>
  <si>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</si>
  <si>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</si>
  <si>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</si>
  <si>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</si>
  <si>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</si>
  <si>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</si>
  <si>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</si>
  <si>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</si>
  <si>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</si>
  <si>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</si>
  <si>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</si>
  <si>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</si>
  <si>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</si>
  <si>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</si>
  <si>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</si>
  <si>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</si>
  <si>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</si>
  <si>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</si>
  <si>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</si>
  <si>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</si>
  <si>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</si>
  <si>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</si>
  <si>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</si>
  <si>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</si>
  <si>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</si>
  <si>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</si>
  <si>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</si>
  <si>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</si>
  <si>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</si>
  <si>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</si>
  <si>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</si>
  <si>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</si>
  <si>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</si>
  <si>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</si>
  <si>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</si>
  <si>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</si>
  <si>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</si>
  <si>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</si>
  <si>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</si>
  <si>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</si>
  <si>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</si>
  <si>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</si>
  <si>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</si>
  <si>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</si>
  <si>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</si>
  <si>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</si>
  <si>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</si>
  <si>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</si>
  <si>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</si>
  <si>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</si>
  <si>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</si>
  <si>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</si>
  <si>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</si>
  <si>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</si>
  <si>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</si>
  <si>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</si>
  <si>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</si>
  <si>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</si>
  <si>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</si>
  <si>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</si>
  <si>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</si>
  <si>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</si>
  <si>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</si>
  <si>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</si>
  <si>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</si>
  <si>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</si>
  <si>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</si>
  <si>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</si>
  <si>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</si>
  <si>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</si>
  <si>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</si>
  <si>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</si>
  <si>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</si>
  <si>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</si>
  <si>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</si>
  <si>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</si>
  <si>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</si>
  <si>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</si>
  <si>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</si>
  <si>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</si>
  <si>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</si>
  <si>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</si>
  <si>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</si>
  <si>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</si>
  <si>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</si>
  <si>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</si>
  <si>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</si>
  <si>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</si>
  <si>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</si>
  <si>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</si>
  <si>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</si>
  <si>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</si>
  <si>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</si>
  <si>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</si>
  <si>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</si>
  <si>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</si>
  <si>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</si>
  <si>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</si>
  <si>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</si>
  <si>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</si>
  <si>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</si>
  <si>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</si>
  <si>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</si>
  <si>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</si>
  <si>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</si>
  <si>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</si>
  <si>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</si>
  <si>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</si>
  <si>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</si>
  <si>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</si>
  <si>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</si>
  <si>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</si>
  <si>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</si>
  <si>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</si>
  <si>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</si>
  <si>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</si>
  <si>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</si>
  <si>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</si>
  <si>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</si>
  <si>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</si>
  <si>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</si>
  <si>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</si>
  <si>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</si>
  <si>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</si>
  <si>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</si>
  <si>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</si>
  <si>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</si>
  <si>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</si>
  <si>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</si>
  <si>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</si>
  <si>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</si>
  <si>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</si>
  <si>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</si>
  <si>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</si>
  <si>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</si>
  <si>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</si>
  <si>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</si>
  <si>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</si>
  <si>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</si>
  <si>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</si>
  <si>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</si>
  <si>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</si>
  <si>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</si>
  <si>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</si>
  <si>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</si>
  <si>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</si>
  <si>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</si>
  <si>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</si>
  <si>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</si>
  <si>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</si>
  <si>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</si>
  <si>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</si>
  <si>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</si>
  <si>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</si>
  <si>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</si>
  <si>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</si>
  <si>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</si>
  <si>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</si>
  <si>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</si>
  <si>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</si>
  <si>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</si>
  <si>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</si>
  <si>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</si>
  <si>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</si>
  <si>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</si>
  <si>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</si>
  <si>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</si>
  <si>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</si>
  <si>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</si>
  <si>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</si>
  <si>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</si>
  <si>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</si>
  <si>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</si>
  <si>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</si>
  <si>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</si>
  <si>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</si>
  <si>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</si>
  <si>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</si>
  <si>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</si>
  <si>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</si>
  <si>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</si>
  <si>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</si>
  <si>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</si>
  <si>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</si>
  <si>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</si>
  <si>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</si>
  <si>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</si>
  <si>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</si>
  <si>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</si>
  <si>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</si>
  <si>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</si>
  <si>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</si>
  <si>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</si>
  <si>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</si>
  <si>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</si>
  <si>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</si>
  <si>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</si>
  <si>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</si>
  <si>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</si>
  <si>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</si>
  <si>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</si>
  <si>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</si>
  <si>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</si>
  <si>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</si>
  <si>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</si>
  <si>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</si>
  <si>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</si>
  <si>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</si>
  <si>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</si>
  <si>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</si>
  <si>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</si>
  <si>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</si>
  <si>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</si>
  <si>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</si>
  <si>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</si>
  <si>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</si>
  <si>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</si>
  <si>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</si>
  <si>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</si>
  <si>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</si>
  <si>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</si>
  <si>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</si>
  <si>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</si>
  <si>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</si>
  <si>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</si>
  <si>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</si>
  <si>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</si>
  <si>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</si>
  <si>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</si>
  <si>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</si>
  <si>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</si>
  <si>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</si>
  <si>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</si>
  <si>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</si>
  <si>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</si>
  <si>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</si>
  <si>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</si>
  <si>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</si>
  <si>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</si>
  <si>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</si>
  <si>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</si>
  <si>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</si>
  <si>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</si>
  <si>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</si>
  <si>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</si>
  <si>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</si>
  <si>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</si>
  <si>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</si>
  <si>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</si>
  <si>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</si>
  <si>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</si>
  <si>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</si>
  <si>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</si>
  <si>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</si>
  <si>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</si>
  <si>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</si>
  <si>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</si>
  <si>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</si>
  <si>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</si>
  <si>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</si>
  <si>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</si>
  <si>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</si>
  <si>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</si>
  <si>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</si>
  <si>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</si>
  <si>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</si>
  <si>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</si>
  <si>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</si>
  <si>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</si>
  <si>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</si>
  <si>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</si>
  <si>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</si>
  <si>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</si>
  <si>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</si>
  <si>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</si>
  <si>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</si>
  <si>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</si>
  <si>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</si>
  <si>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</si>
  <si>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</si>
  <si>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</si>
  <si>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</si>
  <si>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</si>
  <si>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</si>
  <si>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</si>
  <si>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</si>
  <si>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</si>
  <si>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</si>
  <si>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</si>
  <si>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</si>
  <si>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</si>
  <si>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</si>
  <si>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</si>
  <si>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</si>
  <si>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</si>
  <si>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</si>
  <si>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</si>
  <si>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</si>
  <si>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</si>
  <si>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</si>
  <si>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</si>
  <si>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</si>
  <si>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</si>
  <si>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</si>
  <si>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</si>
  <si>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</si>
  <si>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</si>
  <si>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</si>
  <si>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</si>
  <si>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</si>
  <si>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</si>
  <si>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</si>
  <si>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</si>
  <si>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</si>
  <si>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</si>
  <si>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</si>
  <si>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</si>
  <si>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</si>
  <si>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</si>
  <si>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</si>
  <si>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</si>
  <si>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</si>
  <si>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</si>
  <si>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</si>
  <si>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</si>
  <si>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</si>
  <si>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</si>
  <si>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</si>
  <si>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</si>
  <si>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</si>
  <si>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</si>
  <si>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</si>
  <si>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</si>
  <si>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</si>
  <si>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</si>
  <si>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</si>
  <si>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</si>
  <si>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</si>
  <si>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</si>
  <si>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</si>
  <si>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</si>
  <si>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</si>
  <si>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</si>
  <si>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</si>
  <si>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</si>
  <si>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</si>
  <si>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</si>
  <si>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</si>
  <si>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</si>
  <si>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</si>
  <si>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</si>
  <si>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</si>
  <si>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</si>
  <si>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</si>
  <si>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</si>
  <si>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</si>
  <si>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</si>
  <si>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</si>
  <si>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</si>
  <si>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</si>
  <si>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</si>
  <si>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</si>
  <si>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</si>
  <si>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</si>
  <si>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</si>
  <si>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</si>
  <si>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</si>
  <si>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</si>
  <si>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</si>
  <si>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</si>
  <si>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</si>
  <si>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</si>
  <si>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</si>
  <si>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</si>
  <si>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</si>
  <si>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</si>
  <si>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</si>
  <si>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</si>
  <si>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</si>
  <si>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</si>
  <si>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</si>
  <si>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</si>
  <si>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</si>
  <si>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</si>
  <si>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</si>
  <si>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</si>
  <si>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</si>
  <si>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</si>
  <si>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</si>
  <si>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</si>
  <si>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</si>
  <si>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</si>
  <si>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</si>
  <si>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</si>
  <si>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</si>
  <si>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</si>
  <si>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</si>
  <si>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</si>
  <si>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</si>
  <si>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</si>
  <si>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</si>
  <si>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</si>
  <si>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</si>
  <si>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</si>
  <si>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</si>
  <si>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</si>
  <si>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</si>
  <si>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</si>
  <si>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</si>
  <si>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</si>
  <si>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</si>
  <si>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</si>
  <si>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</si>
  <si>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</si>
  <si>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</si>
  <si>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</si>
  <si>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</si>
  <si>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</si>
  <si>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</si>
  <si>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</si>
  <si>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</si>
  <si>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</si>
  <si>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</si>
  <si>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</si>
  <si>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</si>
  <si>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</si>
  <si>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</si>
  <si>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</si>
  <si>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</si>
  <si>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</si>
  <si>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</si>
  <si>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</si>
  <si>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</si>
  <si>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</si>
  <si>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</si>
  <si>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</si>
  <si>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</si>
  <si>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</si>
  <si>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</si>
  <si>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</si>
  <si>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</si>
  <si>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</si>
  <si>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</si>
  <si>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</si>
  <si>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</si>
  <si>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</si>
  <si>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</si>
  <si>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</si>
  <si>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</si>
  <si>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</si>
  <si>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</si>
  <si>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</si>
  <si>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</si>
  <si>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</si>
  <si>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</si>
  <si>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</si>
  <si>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</si>
  <si>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</si>
  <si>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</si>
  <si>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</si>
  <si>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</si>
  <si>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</si>
  <si>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</si>
  <si>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</si>
  <si>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</si>
  <si>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</si>
  <si>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</si>
  <si>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</si>
  <si>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</si>
  <si>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</si>
  <si>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</si>
  <si>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</si>
  <si>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</si>
  <si>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</si>
  <si>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</si>
  <si>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</si>
  <si>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</si>
  <si>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</si>
  <si>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</si>
  <si>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</si>
  <si>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</si>
  <si>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</si>
  <si>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</si>
  <si>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</si>
  <si>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</si>
  <si>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</si>
  <si>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</si>
  <si>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</si>
  <si>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</si>
  <si>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</si>
  <si>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</si>
  <si>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</si>
  <si>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</si>
  <si>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</si>
  <si>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</si>
  <si>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</si>
  <si>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</si>
  <si>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</si>
  <si>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</si>
  <si>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</si>
  <si>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</si>
  <si>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</si>
  <si>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</si>
  <si>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</si>
  <si>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</si>
  <si>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</si>
  <si>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</si>
  <si>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</si>
  <si>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</si>
  <si>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</si>
  <si>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</si>
  <si>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</si>
  <si>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</si>
  <si>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</si>
  <si>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</si>
  <si>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</si>
  <si>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</si>
  <si>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</si>
  <si>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</si>
  <si>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</si>
  <si>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</si>
  <si>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</si>
  <si>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</si>
  <si>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</si>
  <si>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</si>
  <si>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</si>
  <si>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</si>
  <si>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</si>
  <si>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</si>
  <si>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</si>
  <si>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</si>
  <si>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</si>
  <si>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</si>
  <si>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</si>
  <si>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</si>
  <si>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</si>
  <si>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</si>
  <si>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</si>
  <si>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</si>
  <si>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</si>
  <si>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</si>
  <si>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</si>
  <si>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</si>
  <si>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</si>
  <si>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</si>
  <si>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</si>
  <si>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</si>
  <si>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</si>
  <si>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</si>
  <si>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</si>
  <si>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</si>
  <si>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</si>
  <si>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</si>
  <si>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</si>
  <si>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</si>
  <si>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</si>
  <si>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</si>
  <si>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</si>
  <si>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</si>
  <si>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</si>
  <si>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</si>
  <si>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</si>
  <si>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</si>
  <si>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</si>
  <si>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</si>
  <si>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</si>
  <si>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</si>
  <si>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</si>
  <si>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</si>
  <si>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</si>
  <si>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</si>
  <si>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</si>
  <si>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</si>
  <si>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</si>
  <si>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</si>
  <si>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</si>
  <si>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</si>
  <si>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</si>
  <si>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</si>
  <si>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</si>
  <si>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</si>
  <si>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</si>
  <si>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</si>
  <si>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</si>
  <si>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</si>
  <si>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</si>
  <si>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</si>
  <si>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</si>
  <si>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</si>
  <si>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</si>
  <si>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</si>
  <si>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</si>
  <si>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</si>
  <si>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</si>
  <si>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</si>
  <si>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</si>
  <si>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</si>
  <si>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</si>
  <si>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</si>
  <si>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</si>
  <si>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</si>
  <si>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</si>
  <si>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</si>
  <si>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</si>
  <si>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</si>
  <si>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</si>
  <si>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</si>
  <si>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</si>
  <si>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</si>
  <si>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</si>
  <si>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</si>
  <si>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</si>
  <si>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</si>
  <si>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</si>
  <si>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</si>
  <si>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</si>
  <si>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</si>
  <si>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</si>
  <si>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</si>
  <si>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</si>
  <si>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</si>
  <si>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</si>
  <si>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</si>
  <si>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</si>
  <si>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</si>
  <si>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</si>
  <si>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</si>
  <si>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</si>
  <si>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</si>
  <si>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</si>
  <si>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</si>
  <si>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</si>
  <si>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</si>
  <si>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</si>
  <si>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</si>
  <si>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</si>
  <si>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</si>
  <si>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</si>
  <si>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</si>
  <si>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</si>
  <si>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</si>
  <si>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</si>
  <si>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</si>
  <si>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</si>
  <si>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</si>
  <si>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</si>
  <si>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</si>
  <si>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</si>
  <si>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</si>
  <si>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</si>
  <si>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</si>
  <si>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</si>
  <si>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</si>
  <si>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</si>
  <si>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</si>
  <si>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</si>
  <si>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</si>
  <si>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</si>
  <si>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</si>
  <si>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</si>
  <si>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</si>
  <si>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</si>
  <si>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</si>
  <si>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</si>
  <si>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</si>
  <si>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</si>
  <si>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</si>
  <si>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</si>
  <si>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</si>
  <si>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</si>
  <si>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</si>
  <si>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</si>
  <si>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</si>
  <si>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</si>
  <si>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</si>
  <si>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</si>
  <si>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</si>
  <si>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</si>
  <si>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</si>
  <si>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</si>
  <si>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</si>
  <si>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</si>
  <si>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</si>
  <si>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</si>
  <si>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</si>
  <si>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</si>
  <si>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</si>
  <si>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</si>
  <si>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</si>
  <si>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</si>
  <si>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</si>
  <si>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</si>
  <si>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</si>
  <si>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</si>
  <si>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</si>
  <si>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</si>
  <si>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</si>
  <si>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</si>
  <si>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</si>
  <si>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</si>
  <si>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</si>
  <si>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</si>
  <si>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</si>
  <si>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</si>
  <si>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</si>
  <si>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</si>
  <si>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</si>
  <si>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</si>
  <si>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</si>
  <si>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</si>
  <si>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</si>
  <si>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</si>
  <si>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</si>
  <si>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</si>
  <si>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</si>
  <si>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</si>
  <si>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</si>
  <si>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</si>
  <si>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</si>
  <si>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</si>
  <si>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</si>
  <si>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</si>
  <si>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</si>
  <si>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</si>
  <si>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</si>
  <si>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</si>
  <si>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</si>
  <si>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</si>
  <si>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</si>
  <si>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</si>
  <si>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</si>
  <si>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</si>
  <si>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</si>
  <si>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</si>
  <si>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</si>
  <si>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</si>
  <si>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</si>
  <si>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</si>
  <si>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</si>
  <si>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</si>
  <si>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</si>
  <si>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</si>
  <si>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</si>
  <si>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</si>
  <si>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</si>
  <si>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</si>
  <si>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</si>
  <si>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</si>
  <si>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</si>
  <si>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</si>
  <si>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</si>
  <si>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</si>
  <si>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</si>
  <si>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</si>
  <si>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</si>
  <si>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</si>
  <si>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</si>
  <si>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</si>
  <si>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</si>
  <si>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</si>
  <si>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</si>
  <si>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</si>
  <si>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</si>
  <si>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</si>
  <si>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</si>
  <si>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</si>
  <si>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</si>
  <si>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</si>
  <si>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</si>
  <si>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</si>
  <si>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</si>
  <si>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</si>
  <si>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</si>
  <si>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</si>
  <si>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</si>
  <si>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</si>
  <si>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</si>
  <si>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</si>
  <si>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</si>
  <si>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</si>
  <si>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</si>
  <si>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</si>
  <si>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</si>
  <si>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</si>
  <si>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</si>
  <si>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</si>
  <si>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</si>
  <si>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</si>
  <si>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</si>
  <si>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</si>
  <si>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</si>
  <si>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</si>
  <si>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</si>
  <si>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</si>
  <si>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</si>
  <si>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</si>
  <si>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</si>
  <si>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</si>
  <si>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</si>
  <si>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</si>
  <si>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</si>
  <si>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</si>
  <si>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</si>
  <si>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</si>
  <si>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</si>
  <si>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</si>
  <si>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</si>
  <si>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</si>
  <si>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</si>
  <si>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</si>
  <si>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</si>
  <si>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</si>
  <si>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</si>
  <si>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</si>
  <si>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</si>
  <si>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</si>
  <si>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</si>
  <si>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</si>
  <si>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</si>
  <si>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</si>
  <si>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</si>
  <si>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</si>
  <si>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</si>
  <si>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</si>
  <si>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</si>
  <si>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</si>
  <si>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</si>
  <si>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</si>
  <si>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</si>
  <si>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</si>
  <si>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</si>
  <si>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</si>
  <si>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</si>
  <si>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</si>
  <si>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</si>
  <si>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</si>
  <si>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</si>
  <si>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</si>
  <si>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</si>
  <si>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</si>
  <si>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</si>
  <si>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</si>
  <si>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</si>
  <si>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</si>
  <si>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</si>
  <si>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</si>
  <si>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</si>
  <si>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</si>
  <si>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</si>
  <si>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</si>
  <si>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</si>
  <si>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</si>
  <si>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</si>
  <si>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</si>
  <si>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</si>
  <si>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</si>
  <si>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</si>
  <si>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</si>
  <si>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</si>
  <si>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</si>
  <si>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</si>
  <si>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</si>
  <si>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</si>
  <si>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</si>
  <si>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</si>
  <si>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</si>
  <si>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</si>
  <si>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</si>
  <si>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</si>
  <si>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</si>
  <si>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</si>
  <si>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</si>
  <si>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</si>
  <si>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</si>
  <si>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</si>
  <si>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</si>
  <si>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</si>
  <si>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</si>
  <si>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</si>
  <si>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</si>
  <si>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</si>
  <si>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</si>
  <si>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</si>
  <si>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</si>
  <si>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</si>
  <si>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</si>
  <si>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</si>
  <si>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</si>
  <si>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</si>
  <si>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</si>
  <si>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</si>
  <si>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</si>
  <si>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</si>
  <si>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</si>
  <si>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</si>
  <si>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</si>
  <si>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</si>
  <si>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</si>
  <si>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</si>
  <si>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</si>
  <si>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</si>
  <si>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</si>
  <si>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</si>
  <si>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</si>
  <si>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</si>
  <si>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</si>
  <si>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</si>
  <si>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</si>
  <si>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</si>
  <si>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</si>
  <si>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</si>
  <si>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</si>
  <si>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</si>
  <si>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</si>
  <si>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</si>
  <si>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</si>
  <si>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</si>
  <si>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</si>
  <si>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</si>
  <si>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</si>
  <si>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</si>
  <si>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</si>
  <si>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</si>
  <si>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</si>
  <si>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</si>
  <si>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</si>
  <si>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</si>
  <si>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</si>
  <si>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</si>
  <si>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</si>
  <si>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</si>
  <si>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</si>
  <si>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</si>
  <si>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</si>
  <si>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</si>
  <si>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</si>
  <si>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</si>
  <si>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</si>
  <si>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</si>
  <si>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</si>
  <si>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</si>
  <si>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</si>
  <si>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</si>
  <si>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</si>
  <si>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</si>
  <si>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</si>
  <si>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</si>
  <si>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</si>
  <si>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</si>
  <si>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</si>
  <si>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</si>
  <si>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</si>
  <si>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</si>
  <si>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</si>
  <si>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</si>
  <si>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</si>
  <si>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</si>
  <si>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</si>
  <si>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</si>
  <si>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</si>
  <si>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</si>
  <si>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</si>
  <si>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</si>
  <si>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</si>
  <si>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</si>
  <si>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</si>
  <si>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</si>
  <si>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</si>
  <si>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</si>
  <si>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</si>
  <si>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</si>
  <si>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</si>
  <si>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</si>
  <si>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</si>
  <si>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</si>
  <si>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</si>
  <si>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</si>
  <si>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</si>
  <si>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</si>
  <si>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</si>
  <si>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</si>
  <si>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</si>
  <si>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</si>
  <si>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</si>
  <si>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</si>
  <si>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</si>
  <si>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</si>
  <si>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</si>
  <si>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</si>
  <si>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</si>
  <si>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</si>
  <si>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</si>
  <si>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</si>
  <si>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</si>
  <si>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</si>
  <si>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</si>
  <si>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</si>
  <si>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</si>
  <si>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</si>
  <si>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</si>
  <si>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</si>
  <si>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</si>
  <si>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</si>
  <si>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</si>
  <si>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</si>
  <si>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</si>
  <si>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</si>
  <si>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</si>
  <si>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</si>
  <si>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</si>
  <si>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</si>
  <si>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</si>
  <si>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</si>
  <si>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</si>
  <si>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</si>
  <si>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</si>
  <si>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</si>
  <si>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</si>
  <si>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</si>
  <si>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</si>
  <si>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</si>
  <si>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</si>
  <si>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</si>
  <si>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</si>
  <si>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</si>
  <si>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</si>
  <si>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</si>
  <si>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</si>
  <si>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</si>
  <si>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</si>
  <si>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</si>
  <si>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</si>
  <si>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</si>
  <si>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</si>
  <si>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</si>
  <si>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</si>
  <si>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</si>
  <si>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</si>
  <si>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</si>
  <si>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</si>
  <si>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</si>
  <si>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</si>
  <si>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</si>
  <si>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</si>
  <si>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</si>
  <si>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</si>
  <si>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</si>
  <si>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</si>
  <si>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</si>
  <si>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</si>
  <si>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</si>
  <si>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</si>
  <si>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</si>
  <si>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</si>
  <si>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</si>
  <si>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</si>
  <si>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</si>
  <si>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</si>
  <si>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</si>
  <si>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</si>
  <si>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</si>
  <si>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</si>
  <si>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</si>
  <si>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</si>
  <si>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</si>
  <si>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</si>
  <si>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</si>
  <si>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</si>
  <si>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</si>
  <si>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</si>
  <si>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</si>
  <si>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</si>
  <si>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</si>
  <si>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</si>
  <si>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</si>
  <si>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</si>
  <si>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</si>
  <si>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</si>
  <si>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</si>
  <si>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</si>
  <si>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</si>
  <si>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</si>
  <si>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</si>
  <si>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</si>
  <si>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</si>
  <si>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</si>
  <si>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</si>
  <si>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</si>
  <si>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</si>
  <si>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</si>
  <si>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</si>
  <si>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</si>
  <si>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</si>
  <si>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</si>
  <si>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</si>
  <si>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</si>
  <si>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</si>
  <si>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</si>
  <si>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</si>
  <si>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</si>
  <si>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</si>
  <si>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</si>
  <si>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</si>
  <si>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</si>
  <si>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</si>
  <si>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</si>
  <si>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</si>
  <si>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</si>
  <si>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</si>
  <si>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</si>
  <si>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</si>
  <si>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</si>
  <si>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</si>
  <si>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</si>
  <si>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</si>
  <si>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</si>
  <si>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</si>
  <si>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</si>
  <si>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</si>
  <si>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</si>
  <si>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</si>
  <si>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</si>
  <si>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</si>
  <si>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</si>
  <si>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</si>
  <si>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</si>
  <si>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</si>
  <si>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</si>
  <si>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</si>
  <si>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</si>
  <si>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</si>
  <si>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</si>
  <si>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</si>
  <si>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</si>
  <si>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</si>
  <si>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</si>
  <si>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</si>
  <si>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</si>
  <si>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</si>
  <si>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</si>
  <si>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</si>
  <si>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</si>
  <si>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</si>
  <si>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</si>
  <si>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</si>
  <si>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</si>
  <si>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</si>
  <si>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</si>
  <si>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</si>
  <si>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</si>
  <si>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</si>
  <si>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</si>
  <si>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</si>
  <si>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</si>
  <si>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</si>
  <si>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</si>
  <si>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</si>
  <si>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</si>
  <si>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</si>
  <si>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</si>
  <si>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</si>
  <si>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</si>
  <si>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</si>
  <si>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</si>
  <si>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</si>
  <si>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</si>
  <si>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</si>
  <si>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</si>
  <si>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</si>
  <si>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</si>
  <si>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</si>
  <si>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</si>
  <si>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</si>
  <si>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</si>
  <si>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</si>
  <si>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</si>
  <si>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</si>
  <si>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</si>
  <si>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</si>
  <si>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</si>
  <si>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</si>
  <si>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</si>
  <si>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</si>
  <si>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</si>
  <si>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</si>
  <si>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</si>
  <si>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</si>
  <si>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</si>
  <si>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</si>
  <si>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</si>
  <si>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</si>
  <si>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</si>
  <si>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</si>
  <si>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</si>
  <si>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</si>
  <si>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</si>
  <si>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</si>
  <si>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</si>
  <si>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</si>
  <si>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</si>
  <si>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</si>
  <si>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</si>
  <si>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</si>
  <si>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</si>
  <si>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</si>
  <si>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</si>
  <si>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</si>
  <si>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</si>
  <si>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</si>
  <si>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</si>
  <si>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</si>
  <si>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</si>
  <si>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</si>
  <si>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</si>
  <si>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</si>
  <si>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</si>
  <si>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</si>
  <si>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</si>
  <si>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</si>
  <si>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</si>
  <si>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</si>
  <si>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</si>
  <si>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</si>
  <si>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</si>
  <si>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</si>
  <si>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</si>
  <si>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</si>
  <si>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</si>
  <si>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</si>
  <si>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</si>
  <si>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</si>
  <si>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</si>
  <si>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</si>
  <si>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</si>
  <si>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</si>
  <si>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</si>
  <si>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</si>
  <si>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</si>
  <si>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</si>
  <si>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</si>
  <si>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</si>
  <si>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</si>
  <si>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</si>
  <si>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</si>
  <si>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</si>
  <si>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</si>
  <si>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</si>
  <si>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</si>
  <si>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</si>
  <si>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</si>
  <si>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</si>
  <si>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</si>
  <si>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</si>
  <si>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</si>
  <si>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</si>
  <si>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</si>
  <si>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</si>
  <si>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</si>
  <si>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</si>
  <si>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</si>
  <si>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</si>
  <si>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</si>
  <si>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</si>
  <si>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</si>
  <si>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</si>
  <si>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</si>
  <si>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</si>
  <si>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</si>
  <si>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</si>
  <si>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</si>
  <si>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</si>
  <si>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</si>
  <si>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</si>
  <si>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</si>
  <si>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</si>
  <si>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</si>
  <si>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</si>
  <si>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</si>
  <si>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</si>
  <si>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</si>
  <si>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</si>
  <si>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</si>
  <si>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</si>
  <si>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</si>
  <si>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</si>
  <si>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</si>
  <si>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</si>
  <si>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</si>
  <si>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</si>
  <si>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</si>
  <si>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</si>
  <si>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</si>
  <si>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</si>
  <si>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</si>
  <si>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</si>
  <si>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</si>
  <si>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</si>
  <si>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</si>
  <si>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</si>
  <si>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</si>
  <si>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</si>
  <si>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</si>
  <si>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</si>
  <si>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</si>
  <si>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</si>
  <si>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</si>
  <si>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</si>
  <si>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</si>
  <si>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</si>
  <si>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</si>
  <si>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</si>
  <si>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</si>
  <si>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</si>
  <si>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</si>
  <si>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</si>
  <si>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</si>
  <si>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</si>
  <si>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</si>
  <si>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</si>
  <si>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</si>
  <si>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</si>
  <si>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</si>
  <si>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</si>
  <si>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</si>
  <si>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</si>
  <si>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</si>
  <si>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</si>
  <si>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</si>
  <si>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</si>
  <si>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</si>
  <si>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</si>
  <si>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</si>
  <si>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</si>
  <si>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</si>
  <si>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</si>
  <si>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</si>
  <si>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</si>
  <si>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</si>
  <si>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</si>
  <si>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</si>
  <si>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</si>
  <si>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</si>
  <si>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</si>
  <si>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</si>
  <si>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</si>
  <si>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</si>
  <si>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</si>
  <si>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</si>
  <si>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</si>
  <si>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</si>
  <si>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</si>
  <si>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</si>
  <si>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</si>
  <si>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</si>
  <si>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</si>
  <si>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</si>
  <si>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</si>
  <si>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</si>
  <si>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</si>
  <si>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</si>
  <si>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</si>
  <si>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</si>
  <si>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</si>
  <si>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</si>
  <si>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</si>
  <si>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</si>
  <si>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</si>
  <si>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</si>
  <si>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</si>
  <si>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</si>
  <si>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</si>
  <si>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</si>
  <si>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</si>
  <si>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</si>
  <si>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</si>
  <si>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</si>
  <si>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</si>
  <si>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</si>
  <si>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</si>
  <si>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</si>
  <si>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</si>
  <si>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</si>
  <si>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</si>
  <si>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</si>
  <si>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</si>
  <si>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</si>
  <si>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</si>
  <si>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</si>
  <si>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</si>
  <si>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</si>
  <si>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</si>
  <si>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</si>
  <si>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</si>
  <si>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</si>
  <si>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</si>
  <si>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</si>
  <si>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</si>
  <si>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</si>
  <si>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</si>
  <si>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</si>
  <si>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</si>
  <si>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</si>
  <si>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</si>
  <si>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</si>
  <si>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</si>
  <si>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</si>
  <si>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</si>
  <si>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</si>
  <si>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</si>
  <si>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</si>
  <si>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</si>
  <si>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</si>
  <si>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</si>
  <si>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</si>
  <si>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</si>
  <si>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</si>
  <si>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</si>
  <si>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</si>
  <si>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</si>
  <si>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</si>
  <si>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</si>
  <si>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</si>
  <si>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</si>
  <si>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</si>
  <si>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</si>
  <si>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</si>
  <si>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</si>
  <si>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</si>
  <si>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</si>
  <si>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</si>
  <si>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</si>
  <si>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</si>
  <si>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</si>
  <si>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</si>
  <si>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</si>
  <si>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</si>
  <si>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</si>
  <si>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</si>
  <si>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</si>
  <si>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</si>
  <si>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</si>
  <si>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</si>
  <si>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</si>
  <si>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</si>
  <si>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</si>
  <si>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</si>
  <si>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</si>
  <si>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</si>
  <si>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</si>
  <si>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</si>
  <si>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</si>
  <si>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</si>
  <si>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</si>
  <si>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</si>
  <si>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</si>
  <si>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</si>
  <si>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</si>
  <si>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</si>
  <si>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</si>
  <si>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</si>
  <si>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</si>
  <si>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</si>
  <si>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</si>
  <si>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</si>
  <si>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</si>
  <si>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</si>
  <si>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</si>
  <si>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</si>
  <si>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</si>
  <si>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</si>
  <si>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</si>
  <si>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</si>
  <si>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</si>
  <si>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</si>
  <si>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</si>
  <si>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</si>
  <si>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</si>
  <si>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</si>
  <si>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</si>
  <si>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</si>
  <si>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</si>
  <si>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</si>
  <si>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</si>
  <si>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</si>
  <si>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</si>
  <si>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</si>
  <si>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</si>
  <si>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</si>
  <si>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</si>
  <si>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</si>
  <si>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</si>
  <si>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</si>
  <si>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</si>
  <si>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</si>
  <si>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</si>
  <si>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</si>
  <si>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</si>
  <si>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</si>
  <si>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</si>
  <si>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</si>
  <si>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</si>
  <si>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</si>
  <si>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</si>
  <si>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</si>
  <si>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</si>
  <si>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</si>
  <si>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</si>
  <si>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</si>
  <si>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</si>
  <si>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</si>
  <si>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</si>
  <si>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</si>
  <si>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</si>
  <si>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</si>
  <si>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</si>
  <si>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</si>
  <si>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</si>
  <si>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</si>
  <si>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</si>
  <si>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</si>
  <si>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</si>
  <si>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</si>
  <si>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</si>
  <si>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</si>
  <si>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</si>
  <si>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</si>
  <si>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</si>
  <si>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</si>
  <si>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</si>
  <si>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</si>
  <si>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</si>
  <si>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</si>
  <si>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</si>
  <si>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</si>
  <si>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</si>
  <si>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</si>
  <si>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</si>
  <si>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</si>
  <si>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</si>
  <si>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</si>
  <si>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</si>
  <si>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</si>
  <si>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</si>
  <si>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</si>
  <si>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</si>
  <si>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</si>
  <si>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</si>
  <si>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</si>
  <si>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</si>
  <si>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</si>
  <si>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</si>
  <si>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</si>
  <si>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</si>
  <si>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</si>
  <si>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</si>
  <si>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</si>
  <si>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</si>
  <si>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</si>
  <si>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</si>
  <si>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</si>
  <si>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</si>
  <si>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</si>
  <si>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</si>
  <si>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</si>
  <si>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</si>
  <si>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</si>
  <si>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</si>
  <si>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</si>
  <si>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</si>
  <si>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</si>
  <si>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</si>
  <si>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</si>
  <si>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</si>
  <si>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</si>
  <si>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</si>
  <si>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</si>
  <si>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</si>
  <si>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</si>
  <si>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</si>
  <si>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</si>
  <si>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</si>
  <si>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</si>
  <si>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</si>
  <si>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</si>
  <si>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</si>
  <si>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</si>
  <si>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</si>
  <si>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</si>
  <si>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</si>
  <si>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</si>
  <si>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</si>
  <si>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</si>
  <si>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</si>
  <si>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</si>
  <si>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</si>
  <si>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</si>
  <si>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</si>
  <si>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</si>
  <si>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</si>
  <si>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</si>
  <si>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</si>
  <si>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</si>
  <si>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</si>
  <si>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</si>
  <si>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</si>
  <si>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</si>
  <si>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</si>
  <si>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</si>
  <si>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</si>
  <si>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</si>
  <si>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</si>
  <si>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</si>
  <si>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</si>
  <si>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</si>
  <si>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</si>
  <si>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</si>
  <si>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</si>
  <si>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</si>
  <si>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</si>
  <si>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</si>
  <si>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</si>
  <si>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</si>
  <si>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</si>
  <si>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</si>
  <si>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</si>
  <si>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</si>
  <si>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</si>
  <si>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</si>
  <si>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</si>
  <si>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</si>
  <si>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</si>
  <si>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</si>
  <si>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</si>
  <si>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</si>
  <si>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</si>
  <si>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</si>
  <si>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</si>
  <si>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</si>
  <si>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</si>
  <si>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</si>
  <si>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</si>
  <si>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</si>
  <si>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</si>
  <si>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</si>
  <si>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</si>
  <si>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</si>
  <si>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</si>
  <si>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</si>
  <si>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</si>
  <si>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</si>
  <si>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</si>
  <si>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</si>
  <si>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</si>
  <si>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</si>
  <si>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</si>
  <si>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</si>
  <si>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</si>
  <si>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</si>
  <si>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</si>
  <si>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</si>
  <si>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</si>
  <si>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</si>
  <si>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</si>
  <si>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</si>
  <si>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</si>
  <si>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</si>
  <si>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</si>
  <si>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</si>
  <si>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</si>
  <si>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</si>
  <si>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</si>
  <si>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</si>
  <si>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</si>
  <si>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</si>
  <si>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</si>
  <si>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</si>
  <si>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</si>
  <si>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</si>
  <si>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</si>
  <si>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</si>
  <si>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</si>
  <si>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</si>
  <si>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</si>
  <si>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</si>
  <si>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</si>
  <si>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</si>
  <si>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</si>
  <si>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</si>
  <si>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</si>
  <si>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</si>
  <si>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</si>
  <si>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</si>
  <si>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</si>
  <si>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</si>
  <si>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</si>
  <si>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</si>
  <si>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</si>
  <si>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</si>
  <si>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</si>
  <si>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</si>
  <si>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</si>
  <si>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</si>
  <si>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</si>
  <si>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</si>
  <si>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</si>
  <si>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</si>
  <si>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</si>
  <si>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</si>
  <si>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</si>
  <si>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</si>
  <si>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</si>
  <si>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</si>
  <si>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</si>
  <si>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</si>
  <si>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</si>
  <si>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</si>
  <si>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</si>
  <si>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</si>
  <si>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</si>
  <si>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</si>
  <si>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</si>
  <si>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</si>
  <si>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</si>
  <si>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</si>
  <si>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</si>
  <si>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</si>
  <si>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</si>
  <si>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</si>
  <si>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</si>
  <si>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</si>
  <si>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</si>
  <si>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</si>
  <si>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</si>
  <si>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</si>
  <si>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</si>
  <si>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</si>
  <si>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</si>
  <si>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</si>
  <si>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</si>
  <si>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</si>
  <si>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</si>
  <si>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</si>
  <si>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</si>
  <si>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</si>
  <si>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</si>
  <si>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</si>
  <si>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</si>
  <si>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</si>
  <si>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</si>
  <si>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</si>
  <si>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</si>
  <si>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</si>
  <si>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</si>
  <si>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</si>
  <si>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</si>
  <si>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</si>
  <si>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</si>
  <si>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</si>
  <si>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</si>
  <si>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</si>
  <si>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</si>
  <si>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</si>
  <si>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</si>
  <si>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</si>
  <si>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</si>
  <si>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</si>
  <si>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</si>
  <si>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</si>
  <si>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</si>
  <si>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</si>
  <si>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</si>
  <si>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</si>
  <si>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</si>
  <si>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</si>
  <si>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</si>
  <si>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</si>
  <si>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</si>
  <si>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</si>
  <si>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</si>
  <si>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</si>
  <si>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</si>
  <si>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</si>
  <si>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</si>
  <si>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</si>
  <si>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</si>
  <si>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</si>
  <si>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</si>
  <si>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</si>
  <si>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</si>
  <si>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</si>
  <si>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</si>
  <si>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</si>
  <si>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</si>
  <si>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</si>
  <si>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</si>
  <si>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</si>
  <si>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</si>
  <si>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</si>
  <si>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</si>
  <si>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</si>
  <si>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</si>
  <si>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</si>
  <si>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</si>
  <si>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</si>
  <si>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</si>
  <si>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</si>
  <si>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</si>
  <si>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</si>
  <si>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</si>
  <si>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</si>
  <si>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</si>
  <si>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</si>
  <si>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</si>
  <si>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</si>
  <si>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</si>
  <si>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</si>
  <si>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</si>
  <si>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</si>
  <si>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</si>
  <si>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</si>
  <si>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</si>
  <si>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</si>
  <si>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</si>
  <si>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</si>
  <si>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</si>
  <si>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</si>
  <si>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</si>
  <si>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</si>
  <si>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</si>
  <si>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</si>
  <si>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</si>
  <si>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</si>
  <si>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</si>
  <si>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</si>
  <si>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</si>
  <si>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</si>
  <si>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</si>
  <si>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</si>
  <si>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</si>
  <si>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</si>
  <si>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</si>
  <si>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</si>
  <si>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</si>
  <si>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</si>
  <si>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</si>
  <si>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</si>
  <si>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</si>
  <si>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</si>
  <si>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</si>
  <si>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</si>
  <si>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</si>
  <si>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</si>
  <si>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</si>
  <si>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</si>
  <si>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</si>
  <si>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</si>
  <si>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</si>
  <si>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</si>
  <si>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</si>
  <si>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</si>
  <si>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</si>
  <si>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</si>
  <si>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</si>
  <si>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</si>
  <si>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</si>
  <si>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</si>
  <si>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</si>
  <si>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</si>
  <si>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</si>
  <si>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</si>
  <si>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</si>
  <si>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</si>
  <si>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</si>
  <si>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</si>
  <si>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</si>
  <si>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</si>
  <si>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</si>
  <si>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</si>
  <si>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</si>
  <si>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</si>
  <si>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</si>
  <si>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</si>
  <si>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</si>
  <si>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</si>
  <si>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</si>
  <si>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</si>
  <si>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</si>
  <si>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</si>
  <si>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</si>
  <si>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</si>
  <si>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</si>
  <si>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</si>
  <si>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</si>
  <si>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</si>
  <si>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</si>
  <si>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</si>
  <si>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</si>
  <si>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</si>
  <si>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</si>
  <si>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</si>
  <si>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</si>
  <si>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</si>
  <si>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</si>
  <si>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</si>
  <si>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</si>
  <si>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</si>
  <si>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</si>
  <si>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</si>
  <si>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</si>
  <si>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</si>
  <si>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</si>
  <si>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</si>
  <si>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</si>
  <si>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</si>
  <si>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</si>
  <si>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</si>
  <si>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</si>
  <si>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</si>
  <si>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</si>
  <si>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</si>
  <si>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</si>
  <si>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</si>
  <si>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</si>
  <si>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</si>
  <si>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</si>
  <si>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</si>
  <si>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</si>
  <si>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</si>
  <si>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</si>
  <si>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</si>
  <si>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</si>
  <si>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</si>
  <si>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</si>
  <si>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</si>
  <si>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</si>
  <si>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</si>
  <si>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</si>
  <si>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</si>
  <si>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</si>
  <si>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</si>
  <si>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</si>
  <si>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</si>
  <si>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</si>
  <si>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</si>
  <si>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</si>
  <si>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</si>
  <si>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</si>
  <si>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</si>
  <si>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</si>
  <si>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</si>
  <si>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</si>
  <si>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</si>
  <si>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</si>
  <si>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</si>
  <si>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</si>
  <si>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</si>
  <si>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</si>
  <si>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</si>
  <si>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</si>
  <si>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</si>
  <si>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</si>
  <si>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</si>
  <si>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</si>
  <si>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</si>
  <si>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</si>
  <si>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</si>
  <si>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</si>
  <si>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</si>
  <si>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</si>
  <si>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</si>
  <si>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</si>
  <si>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</si>
  <si>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</si>
  <si>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</si>
  <si>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</si>
  <si>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</si>
  <si>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</si>
  <si>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</si>
  <si>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</si>
  <si>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</si>
  <si>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</si>
  <si>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</si>
  <si>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</si>
  <si>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</si>
  <si>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</si>
  <si>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</si>
  <si>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</si>
  <si>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</si>
  <si>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</si>
  <si>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</si>
  <si>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</si>
  <si>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</si>
  <si>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</si>
  <si>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</si>
  <si>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</si>
  <si>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</si>
  <si>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</si>
  <si>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</si>
  <si>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</si>
  <si>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</si>
  <si>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</si>
  <si>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</si>
  <si>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</si>
  <si>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</si>
  <si>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</si>
  <si>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</si>
  <si>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</si>
  <si>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</si>
  <si>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</si>
  <si>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</si>
  <si>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</si>
  <si>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</si>
  <si>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</si>
  <si>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</si>
  <si>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</si>
  <si>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</si>
  <si>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</si>
  <si>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</si>
  <si>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</si>
  <si>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</si>
  <si>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</si>
  <si>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</si>
  <si>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</si>
  <si>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</si>
  <si>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</si>
  <si>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</si>
  <si>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</si>
  <si>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</si>
  <si>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</si>
  <si>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</si>
  <si>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</si>
  <si>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</si>
  <si>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</si>
  <si>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</si>
  <si>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</si>
  <si>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</si>
  <si>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</si>
  <si>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</si>
  <si>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</si>
  <si>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</si>
  <si>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</si>
  <si>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</si>
  <si>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</si>
  <si>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</si>
  <si>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</si>
  <si>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</si>
  <si>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</si>
  <si>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</si>
  <si>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</si>
  <si>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</si>
  <si>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</si>
  <si>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</si>
  <si>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</si>
  <si>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</si>
  <si>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</si>
  <si>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</si>
  <si>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</si>
  <si>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</si>
  <si>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</si>
  <si>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</si>
  <si>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</si>
  <si>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</si>
  <si>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</si>
  <si>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</si>
  <si>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</si>
  <si>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</si>
  <si>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</si>
  <si>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</si>
  <si>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</si>
  <si>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</si>
  <si>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</si>
  <si>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</si>
  <si>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</si>
  <si>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</si>
  <si>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</si>
  <si>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</si>
  <si>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</si>
  <si>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</si>
  <si>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</si>
  <si>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</si>
  <si>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</si>
  <si>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</si>
  <si>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</si>
  <si>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</si>
  <si>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</si>
  <si>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</si>
  <si>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</si>
  <si>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</si>
  <si>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</si>
  <si>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</si>
  <si>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</si>
  <si>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</si>
  <si>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</si>
  <si>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</si>
  <si>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</si>
  <si>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</si>
  <si>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</si>
  <si>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</si>
  <si>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</si>
  <si>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</si>
  <si>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</si>
  <si>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</si>
  <si>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</si>
  <si>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</si>
  <si>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</si>
  <si>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</si>
  <si>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</si>
  <si>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</si>
  <si>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</si>
  <si>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</si>
  <si>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</si>
  <si>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</si>
  <si>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</si>
  <si>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</si>
  <si>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</si>
  <si>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</si>
  <si>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</si>
  <si>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</si>
  <si>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</si>
  <si>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</si>
  <si>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</si>
  <si>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</si>
  <si>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</si>
  <si>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</si>
  <si>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</si>
  <si>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</si>
  <si>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</si>
  <si>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</si>
  <si>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</si>
  <si>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</si>
  <si>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</si>
  <si>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</si>
  <si>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</si>
  <si>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</si>
  <si>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</si>
  <si>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</si>
  <si>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</si>
  <si>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</si>
  <si>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</si>
  <si>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</si>
  <si>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</si>
  <si>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</si>
  <si>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</si>
  <si>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</si>
  <si>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</si>
  <si>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</si>
  <si>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</si>
  <si>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</si>
  <si>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</si>
  <si>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</si>
  <si>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</si>
  <si>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</si>
  <si>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</si>
  <si>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</si>
  <si>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</si>
  <si>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</si>
  <si>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</si>
  <si>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</si>
  <si>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</si>
  <si>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</si>
  <si>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</si>
  <si>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</si>
  <si>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</si>
  <si>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</si>
  <si>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</si>
  <si>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</si>
  <si>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</si>
  <si>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</si>
  <si>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</si>
  <si>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</si>
  <si>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</si>
  <si>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</si>
  <si>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</si>
  <si>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</si>
  <si>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</si>
  <si>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</si>
  <si>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</si>
  <si>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</si>
  <si>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</si>
  <si>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</si>
  <si>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</si>
  <si>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</si>
  <si>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</si>
  <si>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</si>
  <si>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</si>
  <si>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</si>
  <si>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</si>
  <si>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</si>
  <si>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</si>
  <si>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</si>
  <si>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</si>
  <si>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</si>
  <si>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</si>
  <si>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</si>
  <si>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</si>
  <si>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</si>
  <si>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</si>
  <si>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</si>
  <si>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</si>
  <si>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</si>
  <si>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</si>
  <si>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</si>
  <si>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</si>
  <si>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</si>
  <si>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</si>
  <si>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</si>
  <si>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</si>
  <si>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</si>
  <si>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</si>
  <si>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</si>
  <si>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</si>
  <si>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</si>
  <si>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</si>
  <si>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</si>
  <si>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</si>
  <si>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</si>
  <si>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</si>
  <si>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</si>
  <si>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</si>
  <si>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</si>
  <si>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</si>
  <si>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</si>
  <si>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</si>
  <si>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</si>
  <si>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</si>
  <si>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</si>
  <si>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</si>
  <si>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</si>
  <si>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</si>
  <si>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</si>
  <si>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</si>
  <si>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</si>
  <si>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</si>
  <si>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</si>
  <si>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</si>
  <si>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</si>
  <si>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</si>
  <si>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</si>
  <si>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</si>
  <si>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</si>
  <si>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</si>
  <si>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</si>
  <si>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</si>
  <si>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</si>
  <si>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</si>
  <si>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</si>
  <si>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</si>
  <si>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</si>
  <si>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</si>
  <si>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</si>
  <si>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</si>
  <si>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</si>
  <si>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</si>
  <si>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</si>
  <si>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</si>
  <si>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</si>
  <si>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</si>
  <si>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</si>
  <si>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</si>
  <si>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</si>
  <si>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</si>
  <si>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</si>
  <si>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</si>
  <si>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</si>
  <si>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</si>
  <si>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</si>
  <si>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</si>
  <si>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</si>
  <si>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</si>
  <si>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</si>
  <si>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</si>
  <si>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</si>
  <si>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</si>
  <si>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</si>
  <si>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</si>
  <si>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</si>
  <si>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</si>
  <si>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</si>
  <si>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</si>
  <si>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</si>
  <si>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</si>
  <si>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</si>
  <si>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</si>
  <si>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</si>
  <si>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</si>
  <si>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</si>
  <si>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</si>
  <si>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</si>
  <si>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</si>
  <si>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</si>
  <si>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</si>
  <si>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</si>
  <si>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</si>
  <si>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</si>
  <si>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</si>
  <si>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</si>
  <si>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</si>
  <si>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</si>
  <si>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</si>
  <si>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</si>
  <si>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</si>
  <si>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</si>
  <si>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</si>
  <si>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</si>
  <si>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</si>
  <si>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</si>
  <si>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</si>
  <si>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</si>
  <si>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</si>
  <si>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</si>
  <si>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</si>
  <si>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</si>
  <si>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</si>
  <si>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</si>
  <si>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</si>
  <si>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</si>
  <si>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</si>
  <si>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</si>
  <si>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</si>
  <si>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</si>
  <si>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</si>
  <si>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</si>
  <si>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</si>
  <si>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</si>
  <si>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</si>
  <si>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</si>
  <si>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</si>
  <si>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</si>
  <si>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</si>
  <si>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</si>
  <si>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</si>
  <si>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</si>
  <si>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</si>
  <si>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</si>
  <si>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</si>
  <si>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</si>
  <si>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</si>
  <si>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</si>
  <si>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</si>
  <si>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</si>
  <si>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</si>
  <si>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</si>
  <si>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</si>
  <si>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</si>
  <si>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</si>
  <si>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</si>
  <si>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</si>
  <si>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</si>
  <si>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</si>
  <si>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</si>
  <si>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</si>
  <si>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</si>
  <si>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</si>
  <si>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</si>
  <si>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</si>
  <si>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</si>
  <si>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</si>
  <si>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</si>
  <si>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</si>
  <si>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</si>
  <si>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</si>
  <si>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</si>
  <si>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</si>
  <si>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</si>
  <si>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</si>
  <si>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</si>
  <si>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</si>
  <si>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</si>
  <si>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</si>
  <si>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</si>
  <si>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</si>
  <si>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</si>
  <si>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</si>
  <si>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</si>
  <si>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</si>
  <si>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</si>
  <si>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</si>
  <si>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</si>
  <si>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</si>
  <si>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</si>
  <si>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</si>
  <si>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</si>
  <si>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</si>
  <si>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</si>
  <si>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</si>
  <si>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</si>
  <si>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</si>
  <si>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</si>
  <si>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</si>
  <si>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</si>
  <si>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</si>
  <si>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</si>
  <si>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</si>
  <si>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</si>
  <si>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</si>
  <si>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</si>
  <si>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</si>
  <si>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</si>
  <si>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</si>
  <si>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</si>
  <si>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</si>
  <si>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</si>
  <si>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</si>
  <si>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</si>
  <si>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</si>
  <si>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</si>
  <si>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</si>
  <si>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</si>
  <si>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</si>
  <si>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</si>
  <si>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</si>
  <si>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</si>
  <si>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</si>
  <si>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</si>
  <si>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</si>
  <si>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</si>
  <si>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</si>
  <si>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</si>
  <si>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</si>
  <si>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</si>
  <si>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</si>
  <si>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</si>
  <si>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</si>
  <si>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</si>
  <si>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</si>
  <si>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</si>
  <si>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</si>
  <si>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</si>
  <si>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</si>
  <si>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</si>
  <si>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</si>
  <si>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</si>
  <si>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</si>
  <si>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</si>
  <si>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</si>
  <si>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</si>
  <si>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</si>
  <si>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</si>
  <si>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</si>
  <si>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</si>
  <si>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</si>
  <si>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</si>
  <si>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</si>
  <si>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</si>
  <si>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</si>
  <si>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</si>
  <si>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</si>
  <si>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</si>
  <si>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</si>
  <si>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</si>
  <si>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</si>
  <si>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</si>
  <si>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</si>
  <si>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</si>
  <si>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</si>
  <si>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</si>
  <si>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</si>
  <si>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</si>
  <si>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</si>
  <si>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</si>
  <si>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</si>
  <si>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</si>
  <si>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</si>
  <si>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</si>
  <si>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</si>
  <si>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</si>
  <si>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</si>
  <si>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</si>
  <si>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</si>
  <si>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</si>
  <si>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</si>
  <si>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</si>
  <si>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</si>
  <si>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</si>
  <si>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</si>
  <si>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</si>
  <si>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</si>
  <si>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</si>
  <si>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</si>
  <si>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</si>
  <si>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</si>
  <si>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</si>
  <si>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</si>
  <si>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</si>
  <si>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</si>
  <si>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</si>
  <si>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</si>
  <si>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</si>
  <si>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</si>
  <si>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</si>
  <si>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</si>
  <si>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</si>
  <si>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</si>
  <si>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</si>
  <si>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</si>
  <si>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</si>
  <si>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</si>
  <si>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</si>
  <si>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</si>
  <si>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</si>
  <si>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</si>
  <si>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</si>
  <si>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</si>
  <si>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</si>
  <si>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</si>
  <si>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</si>
  <si>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</si>
  <si>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</si>
  <si>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</si>
  <si>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</si>
  <si>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</si>
  <si>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</si>
  <si>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</si>
  <si>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</si>
  <si>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</si>
  <si>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</si>
  <si>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</si>
  <si>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</si>
  <si>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</si>
  <si>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</si>
  <si>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</si>
  <si>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</si>
  <si>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</si>
  <si>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</si>
  <si>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</si>
  <si>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</si>
  <si>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</si>
  <si>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</si>
  <si>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</si>
  <si>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</si>
  <si>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</si>
  <si>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</si>
  <si>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</si>
  <si>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</si>
  <si>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</si>
  <si>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</si>
  <si>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</si>
  <si>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</si>
  <si>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</si>
  <si>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</si>
  <si>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</si>
  <si>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</si>
  <si>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</si>
  <si>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</si>
  <si>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</si>
  <si>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</si>
  <si>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</si>
  <si>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</si>
  <si>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</si>
  <si>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</si>
  <si>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</si>
  <si>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</si>
  <si>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</si>
  <si>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</si>
  <si>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</si>
  <si>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</si>
  <si>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</si>
  <si>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</si>
  <si>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</si>
  <si>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</si>
  <si>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</si>
  <si>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</si>
  <si>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</si>
  <si>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</si>
  <si>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</si>
  <si>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</si>
  <si>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</si>
  <si>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</si>
  <si>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</si>
  <si>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</si>
  <si>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</si>
  <si>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</si>
  <si>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</si>
  <si>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</si>
  <si>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</si>
  <si>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</si>
  <si>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</si>
  <si>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</si>
  <si>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</si>
  <si>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</si>
  <si>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</si>
  <si>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</si>
  <si>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</si>
  <si>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</si>
  <si>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</si>
  <si>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</si>
  <si>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</si>
  <si>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</si>
  <si>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</si>
  <si>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</si>
  <si>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</si>
  <si>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</si>
  <si>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</si>
  <si>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</si>
  <si>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</si>
  <si>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</si>
  <si>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</si>
  <si>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</si>
  <si>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</si>
  <si>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</si>
  <si>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</si>
  <si>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</si>
  <si>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</si>
  <si>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</si>
  <si>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</si>
  <si>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</si>
  <si>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</si>
  <si>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</si>
  <si>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</si>
  <si>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</si>
  <si>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</si>
  <si>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</si>
  <si>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</si>
  <si>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</si>
  <si>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</si>
  <si>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</si>
  <si>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</si>
  <si>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</si>
  <si>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</si>
  <si>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</si>
  <si>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</si>
  <si>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</si>
  <si>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</si>
  <si>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</si>
  <si>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</si>
  <si>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</si>
  <si>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</si>
  <si>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</si>
  <si>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</si>
  <si>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</si>
  <si>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</si>
  <si>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</si>
  <si>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</si>
  <si>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</si>
  <si>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</si>
  <si>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</si>
  <si>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</si>
  <si>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</si>
  <si>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</si>
  <si>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</si>
  <si>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</si>
  <si>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</si>
  <si>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</si>
  <si>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</si>
  <si>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</si>
  <si>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</si>
  <si>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</si>
  <si>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</si>
  <si>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</si>
  <si>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</si>
  <si>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</si>
  <si>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</si>
  <si>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</si>
  <si>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</si>
  <si>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</si>
  <si>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</si>
  <si>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</si>
  <si>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</si>
  <si>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</si>
  <si>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</si>
  <si>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</si>
  <si>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</si>
  <si>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</si>
  <si>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</si>
  <si>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</si>
  <si>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</si>
  <si>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</si>
  <si>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</si>
  <si>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</si>
  <si>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</si>
  <si>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</si>
  <si>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</si>
  <si>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</si>
  <si>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</si>
  <si>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</si>
  <si>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</si>
  <si>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</si>
  <si>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</si>
  <si>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</si>
  <si>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</si>
  <si>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</si>
  <si>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</si>
  <si>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</si>
  <si>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</si>
  <si>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</si>
  <si>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</si>
  <si>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</si>
  <si>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</si>
  <si>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</si>
  <si>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</si>
  <si>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</si>
  <si>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</si>
  <si>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</si>
  <si>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</si>
  <si>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</si>
  <si>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</si>
  <si>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</si>
  <si>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</si>
  <si>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</si>
  <si>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</si>
  <si>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</si>
  <si>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</si>
  <si>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</si>
  <si>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</si>
  <si>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</si>
  <si>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</si>
  <si>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</si>
  <si>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</si>
  <si>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</si>
  <si>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</si>
  <si>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</si>
  <si>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</si>
  <si>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</si>
  <si>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</si>
  <si>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</si>
  <si>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</si>
  <si>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</si>
  <si>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</si>
  <si>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</si>
  <si>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</si>
  <si>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</si>
  <si>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</si>
  <si>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</si>
  <si>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</si>
  <si>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</si>
  <si>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</si>
  <si>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</si>
  <si>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</si>
  <si>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</si>
  <si>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</si>
  <si>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</si>
  <si>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</si>
  <si>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</si>
  <si>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</si>
  <si>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</si>
  <si>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</si>
  <si>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</si>
  <si>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</si>
  <si>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</si>
  <si>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</si>
  <si>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</si>
  <si>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</si>
  <si>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</si>
  <si>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</si>
  <si>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</si>
  <si>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</si>
  <si>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</si>
  <si>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</si>
  <si>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</si>
  <si>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</si>
  <si>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</si>
  <si>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</si>
  <si>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</si>
  <si>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</si>
  <si>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</si>
  <si>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</si>
  <si>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</si>
  <si>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</si>
  <si>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</si>
  <si>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</si>
  <si>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</si>
  <si>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</si>
  <si>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</si>
  <si>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</si>
  <si>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</si>
  <si>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</si>
  <si>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</si>
  <si>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</si>
  <si>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</si>
  <si>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</si>
  <si>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</si>
  <si>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</si>
  <si>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</si>
  <si>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</si>
  <si>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</si>
  <si>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</si>
  <si>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</si>
  <si>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</si>
  <si>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</si>
  <si>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</si>
  <si>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</si>
  <si>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</si>
  <si>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</si>
  <si>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</si>
  <si>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</si>
  <si>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</si>
  <si>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</si>
  <si>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</si>
  <si>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</si>
  <si>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</si>
  <si>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</si>
  <si>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</si>
  <si>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</si>
  <si>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</si>
  <si>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</si>
  <si>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</si>
  <si>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</si>
  <si>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</si>
  <si>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</si>
  <si>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</si>
  <si>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</si>
  <si>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</si>
  <si>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</si>
  <si>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</si>
  <si>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</si>
  <si>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</si>
  <si>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</si>
  <si>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</si>
  <si>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</si>
  <si>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</si>
  <si>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</si>
  <si>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</si>
  <si>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</si>
  <si>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</si>
  <si>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</si>
  <si>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</si>
  <si>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</si>
  <si>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</si>
  <si>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</si>
  <si>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</si>
  <si>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</si>
  <si>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</si>
  <si>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</si>
  <si>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</si>
  <si>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</si>
  <si>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</si>
  <si>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</si>
  <si>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</si>
  <si>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</si>
  <si>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</si>
  <si>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</si>
  <si>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</si>
  <si>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</si>
  <si>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</si>
  <si>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</si>
  <si>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</si>
  <si>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</si>
  <si>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</si>
  <si>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</si>
  <si>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</si>
  <si>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</si>
  <si>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</si>
  <si>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</si>
  <si>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</si>
  <si>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</si>
  <si>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</si>
  <si>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</si>
  <si>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</si>
  <si>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</si>
  <si>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</si>
  <si>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</si>
  <si>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</si>
  <si>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</si>
  <si>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</si>
  <si>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</si>
  <si>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</si>
  <si>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</si>
  <si>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</si>
  <si>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</si>
  <si>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</si>
  <si>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</si>
  <si>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</si>
  <si>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</si>
  <si>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</si>
  <si>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</si>
  <si>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</si>
  <si>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</si>
  <si>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</si>
  <si>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</si>
  <si>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</si>
  <si>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</si>
  <si>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</si>
  <si>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</si>
  <si>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</si>
  <si>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</si>
  <si>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</si>
  <si>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</si>
  <si>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</si>
  <si>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</si>
  <si>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</si>
  <si>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</si>
  <si>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</si>
  <si>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</si>
  <si>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</si>
  <si>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</si>
  <si>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</si>
  <si>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</si>
  <si>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</si>
  <si>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</si>
  <si>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</si>
  <si>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</si>
  <si>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</si>
  <si>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</si>
  <si>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</si>
  <si>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</si>
  <si>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</si>
  <si>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</si>
  <si>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</si>
  <si>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</si>
  <si>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</si>
  <si>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</si>
  <si>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</si>
  <si>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</si>
  <si>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</si>
  <si>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</si>
  <si>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</si>
  <si>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</si>
  <si>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</si>
  <si>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</si>
  <si>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</si>
  <si>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</si>
  <si>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</si>
  <si>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</si>
  <si>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</si>
  <si>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</si>
  <si>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</si>
  <si>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</si>
  <si>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</si>
  <si>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</si>
  <si>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</si>
  <si>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</si>
  <si>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</si>
  <si>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</si>
  <si>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</si>
  <si>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</si>
  <si>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</si>
  <si>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</si>
  <si>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</si>
  <si>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</si>
  <si>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</si>
  <si>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</si>
  <si>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</si>
  <si>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</si>
  <si>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</si>
  <si>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</si>
  <si>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</si>
  <si>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</si>
  <si>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</si>
  <si>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</si>
  <si>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</si>
  <si>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</si>
  <si>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</si>
  <si>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</si>
  <si>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</si>
  <si>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</si>
  <si>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</si>
  <si>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</si>
  <si>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</si>
  <si>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</si>
  <si>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</si>
  <si>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</si>
  <si>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</si>
  <si>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</si>
  <si>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</si>
  <si>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</si>
  <si>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</si>
  <si>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</si>
  <si>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</si>
  <si>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</si>
  <si>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</si>
  <si>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</si>
  <si>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</si>
  <si>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</si>
  <si>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</si>
  <si>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</si>
  <si>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</si>
  <si>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</si>
  <si>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</si>
  <si>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</si>
  <si>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</si>
  <si>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</si>
  <si>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</si>
  <si>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</si>
  <si>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</si>
  <si>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</si>
  <si>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</si>
  <si>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</si>
  <si>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</si>
  <si>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</si>
  <si>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</si>
  <si>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</si>
  <si>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</si>
  <si>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</si>
  <si>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</si>
  <si>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</si>
  <si>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</si>
  <si>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</si>
  <si>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</si>
  <si>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</si>
  <si>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</si>
  <si>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</si>
  <si>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</si>
  <si>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</si>
  <si>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</si>
  <si>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</si>
  <si>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</si>
  <si>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</si>
  <si>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</si>
  <si>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</si>
  <si>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</si>
  <si>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</si>
  <si>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</si>
  <si>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</si>
  <si>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</si>
  <si>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</si>
  <si>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</si>
  <si>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</si>
  <si>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</si>
  <si>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</si>
  <si>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</si>
  <si>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</si>
  <si>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</si>
  <si>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</si>
  <si>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</si>
  <si>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</si>
  <si>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</si>
  <si>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</si>
  <si>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</si>
  <si>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</si>
  <si>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</si>
  <si>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</si>
  <si>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</si>
  <si>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</si>
  <si>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</si>
  <si>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</si>
  <si>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</si>
  <si>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</si>
  <si>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</si>
  <si>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</si>
  <si>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</si>
  <si>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</si>
  <si>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</si>
  <si>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</si>
  <si>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</si>
  <si>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</si>
  <si>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</si>
  <si>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</si>
  <si>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</si>
  <si>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</si>
  <si>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</si>
  <si>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</si>
  <si>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</si>
  <si>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</si>
  <si>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</si>
  <si>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</si>
  <si>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</si>
  <si>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</si>
  <si>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</si>
  <si>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</si>
  <si>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</si>
  <si>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</si>
  <si>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</si>
  <si>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</si>
  <si>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</si>
  <si>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</si>
  <si>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</si>
  <si>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</si>
  <si>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</si>
  <si>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</si>
  <si>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</si>
  <si>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</si>
  <si>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</si>
  <si>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</si>
  <si>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</si>
  <si>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</si>
  <si>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</si>
  <si>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</si>
  <si>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</si>
  <si>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</si>
  <si>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</si>
  <si>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</si>
  <si>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</si>
  <si>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</si>
  <si>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</si>
  <si>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</si>
  <si>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</si>
  <si>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</si>
  <si>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</si>
  <si>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</si>
  <si>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</si>
  <si>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</si>
  <si>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</si>
  <si>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</si>
  <si>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</si>
  <si>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</si>
  <si>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</si>
  <si>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</si>
  <si>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</si>
  <si>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</si>
  <si>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</si>
  <si>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</si>
  <si>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</si>
  <si>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</si>
  <si>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</si>
  <si>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</si>
  <si>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</si>
  <si>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</si>
  <si>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</si>
  <si>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</si>
  <si>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</si>
  <si>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</si>
  <si>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</si>
  <si>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</si>
  <si>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</si>
  <si>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</si>
  <si>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</si>
  <si>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</si>
  <si>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</si>
  <si>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</si>
  <si>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</si>
  <si>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</si>
  <si>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</si>
  <si>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</si>
  <si>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</si>
  <si>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</si>
  <si>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</si>
  <si>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</si>
  <si>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</si>
  <si>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</si>
  <si>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</si>
  <si>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</si>
  <si>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</si>
  <si>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</si>
  <si>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</si>
  <si>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</si>
  <si>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</si>
  <si>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</si>
  <si>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</si>
  <si>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</si>
  <si>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</si>
  <si>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</si>
  <si>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</si>
  <si>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</si>
  <si>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</si>
  <si>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</si>
  <si>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</si>
  <si>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</si>
  <si>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</si>
  <si>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</si>
  <si>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</si>
  <si>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</si>
  <si>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</si>
  <si>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</si>
  <si>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</si>
  <si>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</si>
  <si>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</si>
  <si>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</si>
  <si>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</si>
  <si>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</si>
  <si>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</si>
  <si>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</si>
  <si>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</si>
  <si>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</si>
  <si>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</si>
  <si>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</si>
  <si>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</si>
  <si>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</si>
  <si>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</si>
  <si>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</si>
  <si>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</si>
  <si>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</si>
  <si>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</si>
  <si>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</si>
  <si>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</si>
  <si>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</si>
  <si>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</si>
  <si>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</si>
  <si>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</si>
  <si>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</si>
  <si>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</si>
  <si>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</si>
  <si>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</si>
  <si>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</si>
  <si>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</si>
  <si>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</si>
  <si>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</si>
  <si>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</si>
  <si>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</si>
  <si>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</si>
  <si>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</si>
  <si>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</si>
  <si>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</si>
  <si>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</si>
  <si>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</si>
  <si>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</si>
  <si>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</si>
  <si>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</si>
  <si>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</si>
  <si>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</si>
  <si>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</si>
  <si>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</si>
  <si>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</si>
  <si>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</si>
  <si>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</si>
  <si>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</si>
  <si>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</si>
  <si>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</si>
  <si>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</si>
  <si>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</si>
  <si>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</si>
  <si>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</si>
  <si>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</si>
  <si>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</si>
  <si>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</si>
  <si>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</si>
  <si>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</si>
  <si>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</si>
  <si>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</si>
  <si>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</si>
  <si>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</si>
  <si>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</si>
  <si>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</si>
  <si>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</si>
  <si>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</si>
  <si>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</si>
  <si>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</si>
  <si>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</si>
  <si>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</si>
  <si>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</si>
  <si>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</si>
  <si>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</si>
  <si>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</si>
  <si>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</si>
  <si>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</si>
  <si>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</si>
  <si>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</si>
  <si>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</si>
  <si>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</si>
  <si>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</si>
  <si>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</si>
  <si>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</si>
  <si>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</si>
  <si>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</si>
  <si>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</si>
  <si>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</si>
  <si>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</si>
  <si>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</si>
  <si>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</si>
  <si>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</si>
  <si>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</si>
  <si>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</si>
  <si>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</si>
  <si>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</si>
  <si>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</si>
  <si>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</si>
  <si>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</si>
  <si>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</si>
  <si>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</si>
  <si>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</si>
  <si>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</si>
  <si>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</si>
  <si>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</si>
  <si>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</si>
  <si>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</si>
  <si>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</si>
  <si>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</si>
  <si>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</si>
  <si>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</si>
  <si>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</si>
  <si>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</si>
  <si>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</si>
  <si>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</si>
  <si>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</si>
  <si>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</si>
  <si>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</si>
  <si>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</si>
  <si>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</si>
  <si>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</si>
  <si>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</si>
  <si>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</si>
  <si>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</si>
  <si>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</si>
  <si>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</si>
  <si>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</si>
  <si>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</si>
  <si>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</si>
  <si>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</si>
  <si>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</si>
  <si>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</si>
  <si>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</si>
  <si>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</si>
  <si>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</si>
  <si>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</si>
  <si>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</si>
  <si>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</si>
  <si>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</si>
  <si>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</si>
  <si>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</si>
  <si>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</si>
  <si>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</si>
  <si>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</si>
  <si>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</si>
  <si>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</si>
  <si>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</si>
  <si>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</si>
  <si>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</si>
  <si>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</si>
  <si>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</si>
  <si>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</si>
  <si>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</si>
  <si>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</si>
  <si>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</si>
  <si>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</si>
  <si>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</si>
  <si>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</si>
  <si>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</si>
  <si>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</si>
  <si>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</si>
  <si>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</si>
  <si>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</si>
  <si>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</si>
  <si>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</si>
  <si>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</si>
  <si>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</si>
  <si>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</si>
  <si>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</si>
  <si>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</si>
  <si>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</si>
  <si>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</si>
  <si>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</si>
  <si>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</si>
  <si>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</si>
  <si>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</si>
  <si>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</si>
  <si>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</si>
  <si>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</si>
  <si>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</si>
  <si>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</si>
  <si>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</si>
  <si>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</si>
  <si>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</si>
  <si>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</si>
  <si>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</si>
  <si>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</si>
  <si>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</si>
  <si>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</si>
  <si>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</si>
  <si>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</si>
  <si>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</si>
  <si>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</si>
  <si>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</si>
  <si>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</si>
  <si>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</si>
  <si>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</si>
  <si>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</si>
  <si>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</si>
  <si>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</si>
  <si>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</si>
  <si>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</si>
  <si>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</si>
  <si>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</si>
  <si>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</si>
  <si>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</si>
  <si>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</si>
  <si>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</si>
  <si>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</si>
  <si>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</si>
  <si>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</si>
  <si>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</si>
  <si>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</si>
  <si>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</si>
  <si>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</si>
  <si>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</si>
  <si>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</si>
  <si>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</si>
  <si>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</si>
  <si>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</si>
  <si>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</si>
  <si>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</si>
  <si>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</si>
  <si>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</si>
  <si>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</si>
  <si>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</si>
  <si>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</si>
  <si>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</si>
  <si>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</si>
  <si>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</si>
  <si>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</si>
  <si>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</si>
  <si>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</si>
  <si>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</si>
  <si>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</si>
  <si>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</si>
  <si>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</si>
  <si>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</si>
  <si>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</si>
  <si>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</si>
  <si>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</si>
  <si>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</si>
  <si>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</si>
  <si>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</si>
  <si>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</si>
  <si>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</si>
  <si>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</si>
  <si>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</si>
  <si>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</si>
  <si>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</si>
  <si>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</si>
  <si>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</si>
  <si>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</si>
  <si>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</si>
  <si>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</si>
  <si>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</si>
  <si>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</si>
  <si>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</si>
  <si>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</si>
  <si>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</si>
  <si>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</si>
  <si>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</si>
  <si>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</si>
  <si>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</si>
  <si>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</si>
  <si>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</si>
  <si>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</si>
  <si>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</si>
  <si>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</si>
  <si>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</si>
  <si>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</si>
  <si>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</si>
  <si>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</si>
  <si>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</si>
  <si>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</si>
  <si>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</si>
  <si>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</si>
  <si>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</si>
  <si>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</si>
  <si>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</si>
  <si>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</si>
  <si>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</si>
  <si>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</si>
  <si>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</si>
  <si>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</si>
  <si>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</si>
  <si>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</si>
  <si>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</si>
  <si>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</si>
  <si>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</si>
  <si>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</si>
  <si>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</si>
  <si>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</si>
  <si>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</si>
  <si>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</si>
  <si>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</si>
  <si>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</si>
  <si>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</si>
  <si>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</si>
  <si>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</si>
  <si>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</si>
  <si>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</si>
  <si>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</si>
  <si>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</si>
  <si>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</si>
  <si>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</si>
  <si>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</si>
  <si>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</si>
  <si>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</si>
  <si>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</si>
  <si>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</si>
  <si>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</si>
  <si>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</si>
  <si>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</si>
  <si>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</si>
  <si>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</si>
  <si>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</si>
  <si>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</si>
  <si>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</si>
  <si>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</si>
  <si>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</si>
  <si>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</si>
  <si>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</si>
  <si>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</si>
  <si>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</si>
  <si>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</si>
  <si>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</si>
  <si>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</si>
  <si>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</si>
  <si>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</si>
  <si>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</si>
  <si>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</si>
  <si>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</si>
  <si>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</si>
  <si>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</si>
  <si>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</si>
  <si>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</si>
  <si>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</si>
  <si>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</si>
  <si>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</si>
  <si>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</si>
  <si>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</si>
  <si>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</si>
  <si>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</si>
  <si>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</si>
  <si>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</si>
  <si>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</si>
  <si>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</si>
  <si>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</si>
  <si>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</si>
  <si>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</si>
  <si>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</si>
  <si>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</si>
  <si>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</si>
  <si>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</si>
  <si>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</si>
  <si>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</si>
  <si>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</si>
  <si>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</si>
  <si>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</si>
  <si>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</si>
  <si>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</si>
  <si>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</si>
  <si>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</si>
  <si>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</si>
  <si>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</si>
  <si>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</si>
  <si>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</si>
  <si>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</si>
  <si>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</si>
  <si>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</si>
  <si>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</si>
  <si>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</si>
  <si>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</si>
  <si>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</si>
  <si>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</si>
  <si>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</si>
  <si>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</si>
  <si>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</si>
  <si>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</si>
  <si>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</si>
  <si>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</si>
  <si>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</si>
  <si>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</si>
  <si>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</si>
  <si>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</si>
  <si>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</si>
  <si>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</si>
  <si>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</si>
  <si>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</si>
  <si>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</si>
  <si>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</si>
  <si>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</si>
  <si>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</si>
  <si>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</si>
  <si>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</si>
  <si>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</si>
  <si>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</si>
  <si>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</si>
  <si>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</si>
  <si>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</si>
  <si>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</si>
  <si>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</si>
  <si>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</si>
  <si>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</si>
  <si>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</si>
  <si>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</si>
  <si>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</si>
  <si>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</si>
  <si>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</si>
  <si>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</si>
  <si>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</si>
  <si>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</si>
  <si>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</si>
  <si>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</si>
  <si>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</si>
  <si>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</si>
  <si>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</si>
  <si>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</si>
  <si>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</si>
  <si>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</si>
  <si>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</si>
  <si>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</si>
  <si>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</si>
  <si>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</si>
  <si>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</si>
  <si>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</si>
  <si>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</si>
  <si>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</si>
  <si>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</si>
  <si>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</si>
  <si>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</si>
  <si>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</si>
  <si>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</si>
  <si>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</si>
  <si>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</si>
  <si>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</si>
  <si>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</si>
  <si>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</si>
  <si>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</si>
  <si>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</si>
  <si>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</si>
  <si>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</si>
  <si>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</si>
  <si>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</si>
  <si>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</si>
  <si>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</si>
  <si>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</si>
  <si>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</si>
  <si>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</si>
  <si>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</si>
  <si>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</si>
  <si>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</si>
  <si>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</si>
  <si>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</si>
  <si>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</si>
  <si>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</si>
  <si>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</si>
  <si>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</si>
  <si>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</si>
  <si>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</si>
  <si>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</si>
  <si>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</si>
  <si>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</si>
  <si>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</si>
  <si>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</si>
  <si>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</si>
  <si>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</si>
  <si>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</si>
  <si>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</si>
  <si>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</si>
  <si>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</si>
  <si>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</si>
  <si>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</si>
  <si>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</si>
  <si>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</si>
  <si>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</si>
  <si>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</si>
  <si>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</si>
  <si>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</si>
  <si>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</si>
  <si>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</si>
  <si>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</si>
  <si>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</si>
  <si>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</si>
  <si>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</si>
  <si>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</si>
  <si>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</si>
  <si>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</si>
  <si>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</si>
  <si>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</si>
  <si>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</si>
  <si>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</si>
  <si>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</si>
  <si>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</si>
  <si>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</si>
  <si>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</si>
  <si>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</si>
  <si>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</si>
  <si>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</si>
  <si>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</si>
  <si>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</si>
  <si>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</si>
  <si>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</si>
  <si>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</si>
  <si>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</si>
  <si>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</si>
  <si>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</si>
  <si>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</si>
  <si>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</si>
  <si>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</si>
  <si>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</si>
  <si>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</si>
  <si>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</si>
  <si>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</si>
  <si>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</si>
  <si>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</si>
  <si>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</si>
  <si>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</si>
  <si>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</si>
  <si>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</si>
  <si>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</si>
  <si>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</si>
  <si>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</si>
  <si>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</si>
  <si>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</si>
  <si>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</si>
  <si>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</si>
  <si>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</si>
  <si>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</si>
  <si>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</si>
  <si>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</si>
  <si>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</si>
  <si>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</si>
  <si>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</si>
  <si>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</si>
  <si>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</si>
  <si>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</si>
  <si>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</si>
  <si>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</si>
  <si>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</si>
  <si>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</si>
  <si>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</si>
  <si>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</si>
  <si>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</si>
  <si>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</si>
  <si>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</si>
  <si>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</si>
  <si>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</si>
  <si>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</si>
  <si>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</si>
  <si>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</si>
  <si>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</si>
  <si>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</si>
  <si>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</si>
  <si>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</si>
  <si>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</si>
  <si>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</si>
  <si>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</si>
  <si>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</si>
  <si>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</si>
  <si>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</si>
  <si>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</si>
  <si>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</si>
  <si>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</si>
  <si>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</si>
  <si>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</si>
  <si>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</si>
  <si>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</si>
  <si>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</si>
  <si>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</si>
  <si>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</si>
  <si>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</si>
  <si>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</si>
  <si>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</si>
  <si>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</si>
  <si>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</si>
  <si>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</si>
  <si>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</si>
  <si>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</si>
  <si>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</si>
  <si>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</si>
  <si>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</si>
  <si>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</si>
  <si>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</si>
  <si>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</si>
  <si>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</si>
  <si>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</si>
  <si>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</si>
  <si>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</si>
  <si>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</si>
  <si>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</si>
  <si>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</si>
  <si>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</si>
  <si>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</si>
  <si>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</si>
  <si>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</si>
  <si>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</si>
  <si>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</si>
  <si>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</si>
  <si>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</si>
  <si>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</si>
  <si>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</si>
  <si>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</si>
  <si>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</si>
  <si>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</si>
  <si>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</si>
  <si>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</si>
  <si>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</si>
  <si>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</si>
  <si>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</si>
  <si>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</si>
  <si>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</si>
  <si>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</si>
  <si>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</si>
  <si>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</si>
  <si>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</si>
  <si>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</si>
  <si>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</si>
  <si>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</si>
  <si>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</si>
  <si>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</si>
  <si>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</si>
  <si>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</si>
  <si>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</si>
  <si>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</si>
  <si>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</si>
  <si>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</si>
  <si>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</si>
  <si>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</si>
  <si>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</si>
  <si>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</si>
  <si>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</si>
  <si>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</si>
  <si>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</si>
  <si>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</si>
  <si>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</si>
  <si>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</si>
  <si>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</si>
  <si>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</si>
  <si>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</si>
  <si>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</si>
  <si>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</si>
  <si>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</si>
  <si>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</si>
  <si>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</si>
  <si>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</si>
  <si>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</si>
  <si>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</si>
  <si>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</si>
  <si>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</si>
  <si>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</si>
  <si>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</si>
  <si>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</si>
  <si>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</si>
  <si>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</si>
  <si>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</si>
  <si>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</si>
  <si>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</si>
  <si>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</si>
  <si>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</si>
  <si>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</si>
  <si>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</si>
  <si>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</si>
  <si>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</si>
  <si>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</si>
  <si>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</si>
  <si>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</si>
  <si>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</si>
  <si>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</si>
  <si>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</si>
  <si>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</si>
  <si>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</si>
  <si>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</si>
  <si>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</si>
  <si>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</si>
  <si>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</si>
  <si>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</si>
  <si>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</si>
  <si>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</si>
  <si>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</si>
  <si>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</si>
  <si>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</si>
  <si>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</si>
  <si>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</si>
  <si>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</si>
  <si>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</si>
  <si>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</si>
  <si>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</si>
  <si>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</si>
  <si>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</si>
  <si>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</si>
  <si>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</si>
  <si>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</si>
  <si>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</si>
  <si>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</si>
  <si>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</si>
  <si>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</si>
  <si>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</si>
  <si>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</si>
  <si>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</si>
  <si>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</si>
  <si>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</si>
  <si>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</si>
  <si>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</si>
  <si>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</si>
  <si>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</si>
  <si>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</si>
  <si>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</si>
  <si>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</si>
  <si>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</si>
  <si>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</si>
  <si>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</si>
  <si>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</si>
  <si>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</si>
  <si>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</si>
  <si>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</si>
  <si>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</si>
  <si>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</si>
  <si>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</si>
  <si>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</si>
  <si>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</si>
  <si>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</si>
  <si>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</si>
  <si>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</si>
  <si>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</si>
  <si>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</si>
  <si>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</si>
  <si>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</si>
  <si>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</si>
  <si>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</si>
  <si>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</si>
  <si>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</si>
  <si>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</si>
  <si>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</si>
  <si>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</si>
  <si>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</si>
  <si>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</si>
  <si>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</si>
  <si>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</si>
  <si>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</si>
  <si>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</si>
  <si>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</si>
  <si>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</si>
  <si>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</si>
  <si>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</si>
  <si>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</si>
  <si>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</si>
  <si>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</si>
  <si>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</si>
  <si>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</si>
  <si>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</si>
  <si>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</si>
  <si>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</si>
  <si>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</si>
  <si>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</si>
  <si>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</si>
  <si>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</si>
  <si>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</si>
  <si>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</si>
  <si>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</si>
  <si>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</si>
  <si>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</si>
  <si>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</si>
  <si>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</si>
  <si>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</si>
  <si>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</si>
  <si>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</si>
  <si>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</si>
  <si>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</si>
  <si>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</si>
  <si>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</si>
  <si>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</si>
  <si>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</si>
  <si>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</si>
  <si>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</si>
  <si>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</si>
  <si>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</si>
  <si>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</si>
  <si>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</si>
  <si>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</si>
  <si>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</si>
  <si>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</si>
  <si>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</si>
  <si>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</si>
  <si>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</si>
  <si>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</si>
  <si>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</si>
  <si>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</si>
  <si>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</si>
  <si>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</si>
  <si>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</si>
  <si>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</si>
  <si>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</si>
  <si>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</si>
  <si>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</si>
  <si>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</si>
  <si>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</si>
  <si>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</si>
  <si>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</si>
  <si>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</si>
  <si>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</si>
  <si>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</si>
  <si>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</si>
  <si>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</si>
  <si>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</si>
  <si>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</si>
  <si>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</si>
  <si>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</si>
  <si>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</si>
  <si>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</si>
  <si>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</si>
  <si>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</si>
  <si>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</si>
  <si>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</si>
  <si>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</si>
  <si>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</si>
  <si>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</si>
  <si>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</si>
  <si>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</si>
  <si>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</si>
  <si>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</si>
  <si>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</si>
  <si>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</si>
  <si>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</si>
  <si>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</si>
  <si>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</si>
  <si>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</si>
  <si>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</si>
  <si>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</si>
  <si>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</si>
  <si>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</si>
  <si>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</si>
  <si>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</si>
  <si>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</si>
  <si>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</si>
  <si>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</si>
  <si>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</si>
  <si>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</si>
  <si>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</si>
  <si>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</si>
  <si>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</si>
  <si>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</si>
  <si>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</si>
  <si>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</si>
  <si>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</si>
  <si>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</si>
  <si>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</si>
  <si>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</si>
  <si>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</si>
  <si>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</si>
  <si>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</si>
  <si>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</si>
  <si>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</si>
  <si>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</si>
  <si>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</si>
  <si>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</si>
  <si>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</si>
  <si>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</si>
  <si>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</si>
  <si>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</si>
  <si>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</si>
  <si>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</si>
  <si>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</si>
  <si>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</si>
  <si>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</si>
  <si>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</si>
  <si>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</si>
  <si>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</si>
  <si>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</si>
  <si>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</si>
  <si>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</si>
  <si>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</si>
  <si>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</si>
  <si>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</si>
  <si>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</si>
  <si>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</si>
  <si>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</si>
  <si>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</si>
  <si>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</si>
  <si>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</si>
  <si>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</si>
  <si>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</si>
  <si>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</si>
  <si>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</si>
  <si>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</si>
  <si>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</si>
  <si>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</si>
  <si>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</si>
  <si>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</si>
  <si>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</si>
  <si>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</si>
  <si>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</si>
  <si>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</si>
  <si>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</si>
  <si>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</si>
  <si>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</si>
  <si>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</si>
  <si>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</si>
  <si>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</si>
  <si>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</si>
  <si>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</si>
  <si>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</si>
  <si>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</si>
  <si>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</si>
  <si>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</si>
  <si>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</si>
  <si>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</si>
  <si>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</si>
  <si>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</si>
  <si>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</si>
  <si>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</si>
  <si>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</si>
  <si>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</si>
  <si>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</si>
  <si>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</si>
  <si>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</si>
  <si>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</si>
  <si>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</si>
  <si>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</si>
  <si>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</si>
  <si>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</si>
  <si>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</si>
  <si>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</si>
  <si>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</si>
  <si>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</si>
  <si>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</si>
  <si>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</si>
  <si>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</si>
  <si>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</si>
  <si>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</si>
  <si>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</si>
  <si>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</si>
  <si>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</si>
  <si>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</si>
  <si>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</si>
  <si>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</si>
  <si>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</si>
  <si>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</si>
  <si>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</si>
  <si>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</si>
  <si>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</si>
  <si>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</si>
  <si>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</si>
  <si>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</si>
  <si>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</si>
  <si>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</si>
  <si>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</si>
  <si>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</si>
  <si>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</si>
  <si>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</si>
  <si>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</si>
  <si>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</si>
  <si>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</si>
  <si>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</si>
  <si>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</si>
  <si>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</si>
  <si>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</si>
  <si>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</si>
  <si>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</si>
  <si>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</si>
  <si>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</si>
  <si>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</si>
  <si>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</si>
  <si>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</si>
  <si>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</si>
  <si>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</si>
  <si>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</si>
  <si>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</si>
  <si>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</si>
  <si>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</si>
  <si>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</si>
  <si>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</si>
  <si>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</si>
  <si>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</si>
  <si>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</si>
  <si>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</si>
  <si>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</si>
  <si>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</si>
  <si>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</si>
  <si>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</si>
  <si>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</si>
  <si>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</si>
  <si>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</si>
  <si>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</si>
  <si>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</si>
  <si>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</si>
  <si>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</si>
  <si>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</si>
  <si>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</si>
  <si>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</si>
  <si>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</si>
  <si>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</si>
  <si>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</si>
  <si>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</si>
  <si>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</si>
  <si>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</si>
  <si>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</si>
  <si>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</si>
  <si>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</si>
  <si>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</si>
  <si>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</si>
  <si>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</si>
  <si>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</si>
  <si>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</si>
  <si>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</si>
  <si>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</si>
  <si>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</si>
  <si>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</si>
  <si>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</si>
  <si>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</si>
  <si>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</si>
  <si>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</si>
  <si>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</si>
  <si>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</si>
  <si>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</si>
  <si>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</si>
  <si>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</si>
  <si>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</si>
  <si>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</si>
  <si>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</si>
  <si>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</si>
  <si>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</si>
  <si>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</si>
  <si>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</si>
  <si>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</si>
  <si>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</si>
  <si>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</si>
  <si>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</si>
  <si>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</si>
  <si>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</si>
  <si>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</si>
  <si>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</si>
  <si>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</si>
  <si>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</si>
  <si>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</si>
  <si>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</si>
  <si>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</si>
  <si>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</si>
  <si>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</si>
  <si>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</si>
  <si>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</si>
  <si>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</si>
  <si>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</si>
  <si>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</si>
  <si>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</si>
  <si>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</si>
  <si>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</si>
  <si>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</si>
  <si>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</si>
  <si>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</si>
  <si>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</si>
  <si>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</si>
  <si>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</si>
  <si>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</si>
  <si>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</si>
  <si>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</si>
  <si>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</si>
  <si>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</si>
  <si>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</si>
  <si>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</si>
  <si>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</si>
  <si>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</si>
  <si>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</si>
  <si>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</si>
  <si>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</si>
  <si>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</si>
  <si>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</si>
  <si>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</si>
  <si>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</si>
  <si>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</si>
  <si>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</si>
  <si>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</si>
  <si>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</si>
  <si>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</si>
  <si>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</si>
  <si>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</si>
  <si>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</si>
  <si>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</si>
  <si>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</si>
  <si>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</si>
  <si>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</si>
  <si>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</si>
  <si>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</si>
  <si>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</si>
  <si>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</si>
  <si>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</si>
  <si>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</si>
  <si>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</si>
  <si>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</si>
  <si>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</si>
  <si>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</si>
  <si>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</si>
  <si>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</si>
  <si>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</si>
  <si>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</si>
  <si>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</si>
  <si>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</si>
  <si>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</si>
  <si>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</si>
  <si>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</si>
  <si>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</si>
  <si>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</si>
  <si>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</si>
  <si>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</si>
  <si>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</si>
  <si>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</si>
  <si>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</si>
  <si>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</si>
  <si>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</si>
  <si>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</si>
  <si>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</si>
  <si>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</si>
  <si>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</si>
  <si>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</si>
  <si>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</si>
  <si>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</si>
  <si>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</si>
  <si>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</si>
  <si>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</si>
  <si>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</si>
  <si>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</si>
  <si>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</si>
  <si>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</si>
  <si>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</si>
  <si>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</si>
  <si>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</si>
  <si>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</si>
  <si>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</si>
  <si>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</si>
  <si>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</si>
  <si>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</si>
  <si>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</si>
  <si>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</si>
  <si>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</si>
  <si>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</si>
  <si>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</si>
  <si>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</si>
  <si>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</si>
  <si>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</si>
  <si>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</si>
  <si>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</si>
  <si>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</si>
  <si>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</si>
  <si>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</si>
  <si>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</si>
  <si>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</si>
  <si>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</si>
  <si>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</si>
  <si>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</si>
  <si>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</si>
  <si>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</si>
  <si>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</si>
  <si>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</si>
  <si>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</si>
  <si>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</si>
  <si>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</si>
  <si>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</si>
  <si>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</si>
  <si>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</si>
  <si>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</si>
  <si>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</si>
  <si>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</si>
  <si>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</si>
  <si>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</si>
  <si>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</si>
  <si>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</si>
  <si>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</si>
  <si>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</si>
  <si>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</si>
  <si>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</si>
  <si>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</si>
  <si>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</si>
  <si>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</si>
  <si>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</si>
  <si>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</si>
  <si>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</si>
  <si>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</si>
  <si>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</si>
  <si>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</si>
  <si>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</si>
  <si>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</si>
  <si>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</si>
  <si>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</si>
  <si>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</si>
  <si>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</si>
  <si>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</si>
  <si>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</si>
  <si>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</si>
  <si>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</si>
  <si>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</si>
  <si>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</si>
  <si>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</si>
  <si>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</si>
  <si>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</si>
  <si>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</si>
  <si>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</si>
  <si>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</si>
  <si>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</si>
  <si>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</si>
  <si>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</si>
  <si>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</si>
  <si>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</si>
  <si>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</si>
  <si>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</si>
  <si>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</si>
  <si>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</si>
  <si>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</si>
  <si>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</si>
  <si>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</si>
  <si>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</si>
  <si>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</si>
  <si>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</si>
  <si>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</si>
  <si>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</si>
  <si>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</si>
  <si>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</si>
  <si>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</si>
  <si>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</si>
  <si>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</si>
  <si>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</si>
  <si>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</si>
  <si>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</si>
  <si>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</si>
  <si>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</si>
  <si>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</si>
  <si>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</si>
  <si>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</si>
  <si>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</si>
  <si>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</si>
  <si>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</si>
  <si>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</si>
  <si>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</si>
  <si>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</si>
  <si>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</si>
  <si>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</si>
  <si>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</si>
  <si>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</si>
  <si>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</si>
  <si>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</si>
  <si>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</si>
  <si>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</si>
  <si>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</si>
  <si>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</si>
  <si>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</si>
  <si>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</si>
  <si>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</si>
  <si>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</si>
  <si>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</si>
  <si>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</si>
  <si>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</si>
  <si>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</si>
  <si>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</si>
  <si>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</si>
  <si>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</si>
  <si>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</si>
  <si>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</si>
  <si>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</si>
  <si>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</si>
  <si>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</si>
  <si>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</si>
  <si>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</si>
  <si>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</si>
  <si>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</si>
  <si>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</si>
  <si>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</si>
  <si>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</si>
  <si>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</si>
  <si>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</si>
  <si>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</si>
  <si>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</si>
  <si>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</si>
  <si>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</si>
  <si>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</si>
  <si>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</si>
  <si>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</si>
  <si>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</si>
  <si>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</si>
  <si>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</si>
  <si>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</si>
  <si>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</si>
  <si>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</si>
  <si>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</si>
  <si>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</si>
  <si>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</si>
  <si>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</si>
  <si>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</si>
  <si>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</si>
  <si>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</si>
  <si>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</si>
  <si>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</si>
  <si>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</si>
  <si>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</si>
  <si>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</si>
  <si>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</si>
  <si>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</si>
  <si>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</si>
  <si>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</si>
  <si>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</si>
  <si>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</si>
  <si>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</si>
  <si>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</si>
  <si>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</si>
  <si>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</si>
  <si>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</si>
  <si>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</si>
  <si>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</si>
  <si>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</si>
  <si>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</si>
  <si>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</si>
  <si>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</si>
  <si>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</si>
  <si>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</si>
  <si>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</si>
  <si>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</si>
  <si>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</si>
  <si>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</si>
  <si>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</si>
  <si>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</si>
  <si>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</si>
  <si>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</si>
  <si>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</si>
  <si>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</si>
  <si>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</si>
  <si>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</si>
  <si>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</si>
  <si>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</si>
  <si>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</si>
  <si>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</si>
  <si>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</si>
  <si>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</si>
  <si>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</si>
  <si>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</si>
  <si>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</si>
  <si>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</si>
  <si>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</si>
  <si>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</si>
  <si>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</si>
  <si>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</si>
  <si>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</si>
  <si>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</si>
  <si>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</si>
  <si>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</si>
  <si>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</si>
  <si>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</si>
  <si>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</si>
  <si>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</si>
  <si>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</si>
  <si>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</si>
  <si>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</si>
  <si>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</si>
  <si>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</si>
  <si>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</si>
  <si>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</si>
  <si>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</si>
  <si>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</si>
  <si>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</si>
  <si>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</si>
  <si>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</si>
  <si>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</si>
  <si>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</si>
  <si>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</si>
  <si>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</si>
  <si>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</si>
  <si>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</si>
  <si>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</si>
  <si>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</si>
  <si>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</si>
  <si>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</si>
  <si>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</si>
  <si>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</si>
  <si>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</si>
  <si>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</si>
  <si>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</si>
  <si>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</si>
  <si>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</si>
  <si>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</si>
  <si>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</si>
  <si>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</si>
  <si>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</si>
  <si>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</si>
  <si>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</si>
  <si>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</si>
  <si>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</si>
  <si>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</si>
  <si>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</si>
  <si>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</si>
  <si>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</si>
  <si>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</si>
  <si>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</si>
  <si>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</si>
  <si>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</si>
  <si>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</si>
  <si>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</si>
  <si>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</si>
  <si>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</si>
  <si>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</si>
  <si>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</si>
  <si>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</si>
  <si>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</si>
  <si>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</si>
  <si>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</si>
  <si>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</si>
  <si>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</si>
  <si>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</si>
  <si>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</si>
  <si>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</si>
  <si>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</si>
  <si>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</si>
  <si>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</si>
  <si>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</si>
  <si>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</si>
  <si>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</si>
  <si>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</si>
  <si>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</si>
  <si>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</si>
  <si>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</si>
  <si>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</si>
  <si>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</si>
  <si>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</si>
  <si>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</si>
  <si>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</si>
  <si>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</si>
  <si>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</si>
  <si>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</si>
  <si>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</si>
  <si>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</si>
  <si>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</si>
  <si>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</si>
  <si>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</si>
  <si>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</si>
  <si>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</si>
  <si>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</si>
  <si>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</si>
  <si>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</si>
  <si>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</si>
  <si>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</si>
  <si>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</si>
  <si>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</si>
  <si>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</si>
  <si>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</si>
  <si>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</si>
  <si>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</si>
  <si>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</si>
  <si>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</si>
  <si>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</si>
  <si>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</si>
  <si>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</si>
  <si>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</si>
  <si>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</si>
  <si>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</si>
  <si>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</si>
  <si>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</si>
  <si>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</si>
  <si>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</si>
  <si>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</si>
  <si>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</si>
  <si>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</si>
  <si>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</si>
  <si>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</si>
  <si>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</si>
  <si>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</si>
  <si>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</si>
  <si>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</si>
  <si>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</si>
  <si>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</si>
  <si>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</si>
  <si>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</si>
  <si>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</si>
  <si>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</si>
  <si>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</si>
  <si>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</si>
  <si>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</si>
  <si>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</si>
  <si>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</si>
  <si>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</si>
  <si>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</si>
  <si>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</si>
  <si>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</si>
  <si>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</si>
  <si>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</si>
  <si>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</si>
  <si>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</si>
  <si>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</si>
  <si>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</si>
  <si>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</si>
  <si>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</si>
  <si>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</si>
  <si>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</si>
  <si>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</si>
  <si>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</si>
  <si>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</si>
  <si>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</si>
  <si>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</si>
  <si>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</si>
  <si>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</si>
  <si>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</si>
  <si>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</si>
  <si>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</si>
  <si>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</si>
  <si>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</si>
  <si>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</si>
  <si>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</si>
  <si>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</si>
  <si>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</si>
  <si>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</si>
  <si>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</si>
  <si>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</si>
  <si>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</si>
  <si>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</si>
  <si>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</si>
  <si>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</si>
  <si>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</si>
  <si>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</si>
  <si>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</si>
  <si>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</si>
  <si>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</si>
  <si>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</si>
  <si>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</si>
  <si>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</si>
  <si>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</si>
  <si>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</si>
  <si>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</si>
  <si>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</si>
  <si>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</si>
  <si>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</si>
  <si>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</si>
  <si>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</si>
  <si>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</si>
  <si>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</si>
  <si>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</si>
  <si>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</si>
  <si>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</si>
  <si>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</si>
  <si>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</si>
  <si>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</si>
  <si>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</si>
  <si>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</si>
  <si>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</si>
  <si>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</si>
  <si>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</si>
  <si>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</si>
  <si>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</si>
  <si>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</si>
  <si>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</si>
  <si>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</si>
  <si>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</si>
  <si>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</si>
  <si>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</si>
  <si>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</si>
  <si>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</si>
  <si>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</si>
  <si>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</si>
  <si>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</si>
  <si>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</si>
  <si>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</si>
  <si>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</si>
  <si>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</si>
  <si>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</si>
  <si>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</si>
  <si>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</si>
  <si>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</si>
  <si>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</si>
  <si>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</si>
  <si>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</si>
  <si>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</si>
  <si>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</si>
  <si>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</si>
  <si>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</si>
  <si>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</si>
  <si>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</si>
  <si>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</si>
  <si>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</si>
  <si>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</si>
  <si>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</si>
  <si>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</si>
  <si>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</si>
  <si>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</si>
  <si>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</si>
  <si>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</si>
  <si>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</si>
  <si>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</si>
  <si>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</si>
  <si>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</si>
  <si>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</si>
  <si>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</si>
  <si>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</si>
  <si>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</si>
  <si>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</si>
  <si>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</si>
  <si>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</si>
  <si>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</si>
  <si>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</si>
  <si>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</si>
  <si>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</si>
  <si>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</si>
  <si>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</si>
  <si>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</si>
  <si>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</si>
  <si>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</si>
  <si>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</si>
  <si>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</si>
  <si>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</si>
  <si>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</si>
  <si>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</si>
  <si>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</si>
  <si>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</si>
  <si>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</si>
  <si>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</si>
  <si>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</si>
  <si>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</si>
  <si>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</si>
  <si>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</si>
  <si>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</si>
  <si>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</si>
  <si>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</si>
  <si>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</si>
  <si>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</si>
  <si>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</si>
  <si>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</si>
  <si>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</si>
  <si>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</si>
  <si>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</si>
  <si>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</si>
  <si>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</si>
  <si>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</si>
  <si>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</si>
  <si>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</si>
  <si>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</si>
  <si>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</si>
  <si>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</si>
  <si>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</si>
  <si>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</si>
  <si>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</si>
  <si>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</si>
  <si>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</si>
  <si>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</si>
  <si>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</si>
  <si>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</si>
  <si>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</si>
  <si>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</si>
  <si>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</si>
  <si>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</si>
  <si>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</si>
  <si>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</si>
  <si>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</si>
  <si>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</si>
  <si>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</si>
  <si>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</si>
  <si>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</si>
  <si>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</si>
  <si>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</si>
  <si>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</si>
  <si>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</si>
  <si>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</si>
  <si>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</si>
  <si>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</si>
  <si>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</si>
  <si>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</si>
  <si>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</si>
  <si>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</si>
  <si>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</si>
  <si>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</si>
  <si>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</si>
  <si>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</si>
  <si>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</si>
  <si>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</si>
  <si>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</si>
  <si>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</si>
  <si>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</si>
  <si>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</si>
  <si>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</si>
  <si>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</si>
  <si>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</si>
  <si>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</si>
  <si>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</si>
  <si>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</si>
  <si>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</si>
  <si>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</si>
  <si>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</si>
  <si>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</si>
  <si>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</si>
  <si>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</si>
  <si>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</si>
  <si>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</si>
  <si>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</si>
  <si>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</si>
  <si>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</si>
  <si>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</si>
  <si>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</si>
  <si>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</si>
  <si>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</si>
  <si>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</si>
  <si>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</si>
  <si>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</si>
  <si>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</si>
  <si>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</si>
  <si>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</si>
  <si>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</si>
  <si>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</si>
  <si>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</si>
  <si>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</si>
  <si>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</si>
  <si>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</si>
  <si>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</si>
  <si>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</si>
  <si>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</si>
  <si>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</si>
  <si>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</si>
  <si>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</si>
  <si>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</si>
  <si>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</si>
  <si>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</si>
  <si>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</si>
  <si>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</si>
  <si>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</si>
  <si>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</si>
  <si>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</si>
  <si>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</si>
  <si>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</si>
  <si>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</si>
  <si>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</si>
  <si>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</si>
  <si>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</si>
  <si>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</si>
  <si>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</si>
  <si>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</si>
  <si>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</si>
  <si>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</si>
  <si>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</si>
  <si>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</si>
  <si>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</si>
  <si>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</si>
  <si>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</si>
  <si>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</si>
  <si>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</si>
  <si>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</si>
  <si>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</si>
  <si>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</si>
  <si>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</si>
  <si>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</si>
  <si>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</si>
  <si>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</si>
  <si>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</si>
  <si>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</si>
  <si>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</si>
  <si>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</si>
  <si>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</si>
  <si>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</si>
  <si>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</si>
  <si>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</si>
  <si>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</si>
  <si>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</si>
  <si>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</si>
  <si>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</si>
  <si>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</si>
  <si>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</si>
  <si>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</si>
  <si>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</si>
  <si>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</si>
  <si>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</si>
  <si>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</si>
  <si>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</si>
  <si>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</si>
  <si>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</si>
  <si>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</si>
  <si>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</si>
  <si>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</si>
  <si>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</si>
  <si>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</si>
  <si>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</si>
  <si>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</si>
  <si>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</si>
  <si>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</si>
  <si>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</si>
  <si>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</si>
  <si>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</si>
  <si>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</si>
  <si>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</si>
  <si>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</si>
  <si>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</si>
  <si>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</si>
  <si>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</si>
  <si>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</si>
  <si>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</si>
  <si>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</si>
  <si>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</si>
  <si>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</si>
  <si>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</si>
  <si>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</si>
  <si>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</si>
  <si>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</si>
  <si>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</si>
  <si>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</si>
  <si>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</si>
  <si>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</si>
  <si>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</si>
  <si>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</si>
  <si>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</si>
  <si>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</si>
  <si>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</si>
  <si>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</si>
  <si>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</si>
  <si>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</si>
  <si>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</si>
  <si>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</si>
  <si>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</si>
  <si>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</si>
  <si>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</si>
  <si>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</si>
  <si>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</si>
  <si>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</si>
  <si>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</si>
  <si>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</si>
  <si>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</si>
  <si>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</si>
  <si>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</si>
  <si>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</si>
  <si>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</si>
  <si>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</si>
  <si>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</si>
  <si>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</si>
  <si>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</si>
  <si>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</si>
  <si>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</si>
  <si>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</si>
  <si>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</si>
  <si>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</si>
  <si>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</si>
  <si>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</si>
  <si>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</si>
  <si>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</si>
  <si>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</si>
  <si>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</si>
  <si>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</si>
  <si>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</si>
  <si>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</si>
  <si>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</si>
  <si>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</si>
  <si>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</si>
  <si>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</si>
  <si>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</si>
  <si>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</si>
  <si>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</si>
  <si>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</si>
  <si>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</si>
  <si>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</si>
  <si>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</si>
  <si>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</si>
  <si>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</si>
  <si>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</si>
  <si>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</si>
  <si>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</si>
  <si>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</si>
  <si>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</si>
  <si>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</si>
  <si>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</si>
  <si>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</si>
  <si>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</si>
  <si>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</si>
  <si>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</si>
  <si>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</si>
  <si>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</si>
  <si>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</si>
  <si>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</si>
  <si>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</si>
  <si>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</si>
  <si>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</si>
  <si>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</si>
  <si>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</si>
  <si>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</si>
  <si>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</si>
  <si>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</si>
  <si>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</si>
  <si>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</si>
  <si>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</si>
  <si>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</si>
  <si>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</si>
  <si>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</si>
  <si>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</si>
  <si>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</si>
  <si>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</si>
  <si>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</si>
  <si>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</si>
  <si>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</si>
  <si>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</si>
  <si>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</si>
  <si>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</si>
  <si>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</si>
  <si>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</si>
  <si>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</si>
  <si>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</si>
  <si>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</si>
  <si>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</si>
  <si>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</si>
  <si>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</si>
  <si>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</si>
  <si>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</si>
  <si>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</si>
  <si>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</si>
  <si>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</si>
  <si>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</si>
  <si>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</si>
  <si>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</si>
  <si>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</si>
  <si>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</si>
  <si>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</si>
  <si>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</si>
  <si>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</si>
  <si>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</si>
  <si>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</si>
  <si>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</si>
  <si>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</si>
  <si>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</si>
  <si>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</si>
  <si>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</si>
  <si>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</si>
  <si>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</si>
  <si>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</si>
  <si>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</si>
  <si>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</si>
  <si>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</si>
  <si>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</si>
  <si>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</si>
  <si>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</si>
  <si>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</si>
  <si>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</si>
  <si>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</si>
  <si>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</si>
  <si>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</si>
  <si>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</si>
  <si>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</si>
  <si>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</si>
  <si>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</si>
  <si>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</si>
  <si>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</si>
  <si>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</si>
  <si>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</si>
  <si>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</si>
  <si>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</si>
  <si>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</si>
  <si>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</si>
  <si>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</si>
  <si>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</si>
  <si>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</si>
  <si>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</si>
  <si>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</si>
  <si>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</si>
  <si>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</si>
  <si>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</si>
  <si>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</si>
  <si>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</si>
  <si>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</si>
  <si>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</si>
  <si>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</si>
  <si>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</si>
  <si>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</si>
  <si>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</si>
  <si>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</si>
  <si>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</si>
  <si>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</si>
  <si>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</si>
  <si>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</si>
  <si>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</si>
  <si>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</si>
  <si>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</si>
  <si>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</si>
  <si>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</si>
  <si>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</si>
  <si>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</si>
  <si>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</si>
  <si>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</si>
  <si>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</si>
  <si>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</si>
  <si>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</si>
  <si>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</si>
  <si>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</si>
  <si>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</si>
  <si>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</si>
  <si>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</si>
  <si>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</si>
  <si>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</si>
  <si>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</si>
  <si>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</si>
  <si>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</si>
  <si>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</si>
  <si>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</si>
  <si>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</si>
  <si>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</si>
  <si>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</si>
  <si>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</si>
  <si>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</si>
  <si>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</si>
  <si>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</si>
  <si>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</si>
  <si>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</si>
  <si>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</si>
  <si>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</si>
  <si>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</si>
  <si>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</si>
  <si>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</si>
  <si>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</si>
  <si>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</si>
  <si>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</si>
  <si>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</si>
  <si>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</si>
  <si>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</si>
  <si>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</si>
  <si>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</si>
  <si>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</si>
  <si>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</si>
  <si>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</si>
  <si>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</si>
  <si>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</si>
  <si>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</si>
  <si>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</si>
  <si>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</si>
  <si>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</si>
  <si>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</si>
  <si>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</si>
  <si>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</si>
  <si>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</si>
  <si>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</si>
  <si>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</si>
  <si>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</si>
  <si>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</si>
  <si>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</si>
  <si>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</si>
  <si>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</si>
  <si>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</si>
  <si>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</si>
  <si>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</si>
  <si>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</si>
  <si>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</si>
  <si>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</si>
  <si>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</si>
  <si>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</si>
  <si>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</si>
  <si>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</si>
  <si>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</si>
  <si>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</si>
  <si>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</si>
  <si>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</si>
  <si>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</si>
  <si>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</si>
  <si>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</si>
  <si>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</si>
  <si>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</si>
  <si>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</si>
  <si>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</si>
  <si>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</si>
  <si>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</si>
  <si>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</si>
  <si>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</si>
  <si>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</si>
  <si>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</si>
  <si>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</si>
  <si>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</si>
  <si>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</si>
  <si>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</si>
  <si>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</si>
  <si>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</si>
  <si>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</si>
  <si>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</si>
  <si>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</si>
  <si>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</si>
  <si>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</si>
  <si>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</si>
  <si>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</si>
  <si>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</si>
  <si>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</si>
  <si>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</si>
  <si>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</si>
  <si>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</si>
  <si>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</si>
  <si>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</si>
  <si>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</si>
  <si>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</si>
  <si>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</si>
  <si>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</si>
  <si>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</si>
  <si>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</si>
  <si>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</si>
  <si>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</si>
  <si>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</si>
  <si>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</si>
  <si>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</si>
  <si>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</si>
  <si>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</si>
  <si>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</si>
  <si>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</si>
  <si>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</si>
  <si>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</si>
  <si>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</si>
  <si>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</si>
  <si>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</si>
  <si>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</si>
  <si>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</si>
  <si>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</si>
  <si>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</si>
  <si>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</si>
  <si>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</si>
  <si>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</si>
  <si>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</si>
  <si>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</si>
  <si>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</si>
  <si>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</si>
  <si>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</si>
  <si>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</si>
  <si>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</si>
  <si>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</si>
  <si>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</si>
  <si>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</si>
  <si>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</si>
  <si>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</si>
  <si>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</si>
  <si>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</si>
  <si>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</si>
  <si>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</si>
  <si>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</si>
  <si>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</si>
  <si>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</si>
  <si>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</si>
  <si>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</si>
  <si>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</si>
  <si>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</si>
  <si>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</si>
  <si>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</si>
  <si>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</si>
  <si>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</si>
  <si>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</si>
  <si>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</si>
  <si>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</si>
  <si>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</si>
  <si>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</si>
  <si>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</si>
  <si>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</si>
  <si>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</si>
  <si>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</si>
  <si>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</si>
  <si>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</si>
  <si>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</si>
  <si>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</si>
  <si>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</si>
  <si>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</si>
  <si>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</si>
  <si>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</si>
  <si>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</si>
  <si>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</si>
  <si>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</si>
  <si>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</si>
  <si>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</si>
  <si>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</si>
  <si>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</si>
  <si>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</si>
  <si>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</si>
  <si>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</si>
  <si>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</si>
  <si>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</si>
  <si>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</si>
  <si>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</si>
  <si>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</si>
  <si>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</si>
  <si>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</si>
  <si>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</si>
  <si>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</si>
  <si>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</si>
  <si>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</si>
  <si>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</si>
  <si>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</si>
  <si>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</si>
  <si>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</si>
  <si>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</si>
  <si>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</si>
  <si>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</si>
  <si>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</si>
  <si>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</si>
  <si>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</si>
  <si>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</si>
  <si>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</si>
  <si>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</si>
  <si>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</si>
  <si>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</si>
  <si>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</si>
  <si>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</si>
  <si>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</si>
  <si>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</si>
  <si>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</si>
  <si>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</si>
  <si>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</si>
  <si>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</si>
  <si>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</si>
  <si>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</si>
  <si>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</si>
  <si>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</si>
  <si>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</si>
  <si>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</si>
  <si>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</si>
  <si>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</si>
  <si>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</si>
  <si>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</si>
  <si>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</si>
  <si>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</si>
  <si>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</si>
  <si>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</si>
  <si>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</si>
  <si>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</si>
  <si>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</si>
  <si>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</si>
  <si>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</si>
  <si>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</si>
  <si>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</si>
  <si>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</si>
  <si>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</si>
  <si>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</si>
  <si>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</si>
  <si>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</si>
  <si>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</si>
  <si>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</si>
  <si>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</si>
  <si>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</si>
  <si>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</si>
  <si>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</si>
  <si>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</si>
  <si>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</si>
  <si>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</si>
  <si>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</si>
  <si>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</si>
  <si>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</si>
  <si>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</si>
  <si>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</si>
  <si>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</si>
  <si>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</si>
  <si>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</si>
  <si>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</si>
  <si>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</si>
  <si>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</si>
  <si>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</si>
  <si>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</si>
  <si>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</si>
  <si>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</si>
  <si>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</si>
  <si>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</si>
  <si>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</si>
  <si>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</si>
  <si>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</si>
  <si>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</si>
  <si>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</si>
  <si>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</si>
  <si>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</si>
  <si>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</si>
  <si>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</si>
  <si>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</si>
  <si>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</si>
  <si>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</si>
  <si>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</si>
  <si>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</si>
  <si>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</si>
  <si>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</si>
  <si>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</si>
  <si>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</si>
  <si>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</si>
  <si>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</si>
  <si>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</si>
  <si>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</si>
  <si>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</si>
  <si>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</si>
  <si>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</si>
  <si>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</si>
  <si>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</si>
  <si>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</si>
  <si>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</si>
  <si>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</si>
  <si>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</si>
  <si>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</si>
  <si>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</si>
  <si>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</si>
  <si>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</si>
  <si>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</si>
  <si>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</si>
  <si>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</si>
  <si>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</si>
  <si>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</si>
  <si>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</si>
  <si>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</si>
  <si>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</si>
  <si>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</si>
  <si>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</si>
  <si>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</si>
  <si>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</si>
  <si>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</si>
  <si>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</si>
  <si>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</si>
  <si>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</si>
  <si>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</si>
  <si>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</si>
  <si>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</si>
  <si>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</si>
  <si>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</si>
  <si>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</si>
  <si>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</si>
  <si>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</si>
  <si>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</si>
  <si>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</si>
  <si>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</si>
  <si>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</si>
  <si>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</si>
  <si>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</si>
  <si>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</si>
  <si>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</si>
  <si>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</si>
  <si>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</si>
  <si>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</si>
  <si>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</si>
  <si>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</si>
  <si>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</si>
  <si>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</si>
  <si>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</si>
  <si>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</si>
  <si>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</si>
  <si>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</si>
  <si>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</si>
  <si>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</si>
  <si>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</si>
  <si>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</si>
  <si>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</si>
  <si>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</si>
  <si>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</si>
  <si>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</si>
  <si>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</si>
  <si>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</si>
  <si>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</si>
  <si>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</si>
  <si>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</si>
  <si>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</si>
  <si>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</si>
  <si>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</si>
  <si>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</si>
  <si>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</si>
  <si>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</si>
  <si>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</si>
  <si>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</si>
  <si>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</si>
  <si>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</si>
  <si>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</si>
  <si>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</si>
  <si>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</si>
  <si>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</si>
  <si>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</si>
  <si>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</si>
  <si>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</si>
  <si>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</si>
  <si>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</si>
  <si>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</si>
  <si>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</si>
  <si>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</si>
  <si>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</si>
  <si>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</si>
  <si>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</si>
  <si>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</si>
  <si>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</si>
  <si>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</si>
  <si>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</si>
  <si>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</si>
  <si>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</si>
  <si>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</si>
  <si>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</si>
  <si>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</si>
  <si>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</si>
  <si>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</si>
  <si>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</si>
  <si>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</si>
  <si>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</si>
  <si>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</si>
  <si>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</si>
  <si>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</si>
  <si>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</si>
  <si>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</si>
  <si>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</si>
  <si>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</si>
  <si>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</si>
  <si>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</si>
  <si>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</si>
  <si>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</si>
  <si>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</si>
  <si>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</si>
  <si>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</si>
  <si>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</si>
  <si>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</si>
  <si>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</si>
  <si>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</si>
  <si>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</si>
  <si>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</si>
  <si>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</si>
  <si>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</si>
  <si>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</si>
  <si>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</si>
  <si>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</si>
  <si>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</si>
  <si>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</si>
  <si>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</si>
  <si>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</si>
  <si>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</si>
  <si>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</si>
  <si>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</si>
  <si>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</si>
  <si>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</si>
  <si>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</si>
  <si>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</si>
  <si>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</si>
  <si>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</si>
  <si>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</si>
  <si>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</si>
  <si>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</si>
  <si>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</si>
  <si>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</si>
  <si>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</si>
  <si>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</si>
  <si>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</si>
  <si>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</si>
  <si>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</si>
  <si>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</si>
  <si>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</si>
  <si>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</si>
  <si>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</si>
  <si>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</si>
  <si>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</si>
  <si>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</si>
  <si>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</si>
  <si>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</si>
  <si>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</si>
  <si>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</si>
  <si>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</si>
  <si>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</si>
  <si>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</si>
  <si>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</si>
  <si>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</si>
  <si>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</si>
  <si>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</si>
  <si>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</si>
  <si>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</si>
  <si>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</si>
  <si>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</si>
  <si>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</si>
  <si>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</si>
  <si>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</si>
  <si>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</si>
  <si>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</si>
  <si>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</si>
  <si>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</si>
  <si>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</si>
  <si>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</si>
  <si>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</si>
  <si>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</si>
  <si>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</si>
  <si>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</si>
  <si>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</si>
  <si>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</si>
  <si>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</si>
  <si>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</si>
  <si>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</si>
  <si>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</si>
  <si>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</si>
  <si>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</si>
  <si>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</si>
  <si>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</si>
  <si>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</si>
  <si>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</si>
  <si>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</si>
  <si>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</si>
  <si>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</si>
  <si>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</si>
  <si>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</si>
  <si>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</si>
  <si>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</si>
  <si>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</si>
  <si>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</si>
  <si>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</si>
  <si>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</si>
  <si>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</si>
  <si>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</si>
  <si>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</si>
  <si>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</si>
  <si>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</si>
  <si>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</si>
  <si>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</si>
  <si>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</si>
  <si>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</si>
  <si>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</si>
  <si>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</si>
  <si>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</si>
  <si>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</si>
  <si>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</si>
  <si>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</si>
  <si>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</si>
  <si>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</si>
  <si>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</si>
  <si>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</si>
  <si>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</si>
  <si>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</si>
  <si>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</si>
  <si>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</si>
  <si>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</si>
  <si>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</si>
  <si>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</si>
  <si>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</si>
  <si>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</si>
  <si>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</si>
  <si>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</si>
  <si>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</si>
  <si>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</si>
  <si>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</si>
  <si>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</si>
  <si>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</si>
  <si>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</si>
  <si>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</si>
  <si>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</si>
  <si>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</si>
  <si>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</si>
  <si>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</si>
  <si>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</si>
  <si>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</si>
  <si>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</si>
  <si>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</si>
  <si>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</si>
  <si>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</si>
  <si>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</si>
  <si>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</si>
  <si>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</si>
  <si>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</si>
  <si>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</si>
  <si>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</si>
  <si>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</si>
  <si>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</si>
  <si>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</si>
  <si>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</si>
  <si>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</si>
  <si>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</si>
  <si>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</si>
  <si>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</si>
  <si>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</si>
  <si>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</si>
  <si>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</si>
  <si>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</si>
  <si>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</si>
  <si>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</si>
  <si>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</si>
  <si>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</si>
  <si>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</si>
  <si>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</si>
  <si>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</si>
  <si>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</si>
  <si>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</si>
  <si>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</si>
  <si>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</si>
  <si>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</si>
  <si>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</si>
  <si>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</si>
  <si>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</si>
  <si>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</si>
  <si>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</si>
  <si>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</si>
  <si>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</si>
  <si>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</si>
  <si>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</si>
  <si>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</si>
  <si>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</si>
  <si>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</si>
  <si>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</si>
  <si>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</si>
  <si>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</si>
  <si>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</si>
  <si>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</si>
  <si>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</si>
  <si>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</si>
  <si>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</si>
  <si>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</si>
  <si>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</si>
  <si>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</si>
  <si>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</si>
  <si>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</si>
  <si>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</si>
  <si>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</si>
  <si>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</si>
  <si>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</si>
  <si>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</si>
  <si>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</si>
  <si>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</si>
  <si>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</si>
  <si>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</si>
  <si>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</si>
  <si>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</si>
  <si>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</si>
  <si>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</si>
  <si>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</si>
  <si>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</si>
  <si>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</si>
  <si>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</si>
  <si>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</si>
  <si>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</si>
  <si>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</si>
  <si>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</si>
  <si>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</si>
  <si>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</si>
  <si>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</si>
  <si>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</si>
  <si>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</si>
  <si>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</si>
  <si>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</si>
  <si>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</si>
  <si>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</si>
  <si>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</si>
  <si>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</si>
  <si>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</si>
  <si>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</si>
  <si>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</si>
  <si>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</si>
  <si>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</si>
  <si>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</si>
  <si>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</si>
  <si>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</si>
  <si>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</si>
  <si>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</si>
  <si>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</si>
  <si>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</si>
  <si>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</si>
  <si>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</si>
  <si>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</si>
  <si>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</si>
  <si>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</si>
  <si>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</si>
  <si>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</si>
  <si>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</si>
  <si>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</si>
  <si>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</si>
  <si>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</si>
  <si>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</si>
  <si>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</si>
  <si>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</si>
  <si>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</si>
  <si>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</si>
  <si>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</si>
  <si>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</si>
  <si>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</si>
  <si>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</si>
  <si>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</si>
  <si>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</si>
  <si>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</si>
  <si>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</si>
  <si>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</si>
  <si>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</si>
  <si>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</si>
  <si>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</si>
  <si>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</si>
  <si>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</si>
  <si>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</si>
  <si>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</si>
  <si>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</si>
  <si>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</si>
  <si>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</si>
  <si>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</si>
  <si>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</si>
  <si>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</si>
  <si>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</si>
  <si>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</si>
  <si>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</si>
  <si>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</si>
  <si>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</si>
  <si>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</si>
  <si>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</si>
  <si>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</si>
  <si>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</si>
  <si>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</si>
  <si>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</si>
  <si>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</si>
  <si>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</si>
  <si>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</si>
  <si>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</si>
  <si>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</si>
  <si>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</si>
  <si>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</si>
  <si>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</si>
  <si>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</si>
  <si>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</si>
  <si>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</si>
  <si>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</si>
  <si>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</si>
  <si>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</si>
  <si>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</si>
  <si>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</si>
  <si>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</si>
  <si>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</si>
  <si>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</si>
  <si>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</si>
  <si>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</si>
  <si>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</si>
  <si>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</si>
  <si>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</si>
  <si>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</si>
  <si>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</si>
  <si>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</si>
  <si>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</si>
  <si>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</si>
  <si>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</si>
  <si>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</si>
  <si>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</si>
  <si>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</si>
  <si>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</si>
  <si>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</si>
  <si>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</si>
  <si>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</si>
  <si>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</si>
  <si>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</si>
  <si>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</si>
  <si>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</si>
  <si>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</si>
  <si>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</si>
  <si>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</si>
  <si>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</si>
  <si>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</si>
  <si>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</si>
  <si>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</si>
  <si>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</si>
  <si>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</si>
  <si>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</si>
  <si>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</si>
  <si>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</si>
  <si>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</si>
  <si>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</si>
  <si>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</si>
  <si>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</si>
  <si>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</si>
  <si>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</si>
  <si>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</si>
  <si>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</si>
  <si>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</si>
  <si>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</si>
  <si>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</si>
  <si>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</si>
  <si>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</si>
  <si>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</si>
  <si>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</si>
  <si>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</si>
  <si>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</si>
  <si>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</si>
  <si>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</si>
  <si>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</si>
  <si>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</si>
  <si>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</si>
  <si>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</si>
  <si>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</si>
  <si>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</si>
  <si>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</si>
  <si>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</si>
  <si>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</si>
  <si>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</si>
  <si>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</si>
  <si>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</si>
  <si>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</si>
  <si>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</si>
  <si>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</si>
  <si>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</si>
  <si>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</si>
  <si>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</si>
  <si>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</si>
  <si>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</si>
  <si>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</si>
  <si>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</si>
  <si>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</si>
  <si>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</si>
  <si>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</si>
  <si>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</si>
  <si>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</si>
  <si>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</si>
  <si>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</si>
  <si>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</si>
  <si>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</si>
  <si>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</si>
  <si>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</si>
  <si>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</si>
  <si>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</si>
  <si>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</si>
  <si>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</si>
  <si>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</si>
  <si>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</si>
  <si>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</si>
  <si>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</si>
  <si>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</si>
  <si>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</si>
  <si>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</si>
  <si>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</si>
  <si>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</si>
  <si>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</si>
  <si>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</si>
  <si>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</si>
  <si>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</si>
  <si>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</si>
  <si>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</si>
  <si>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</si>
  <si>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</si>
  <si>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</si>
  <si>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</si>
  <si>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</si>
  <si>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</si>
  <si>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</si>
  <si>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</si>
  <si>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</si>
  <si>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</si>
  <si>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</si>
  <si>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</si>
  <si>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</si>
  <si>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</si>
  <si>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</si>
  <si>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</si>
  <si>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</si>
  <si>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</si>
  <si>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</si>
  <si>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</si>
  <si>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</si>
  <si>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</si>
  <si>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</si>
  <si>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</si>
  <si>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</si>
  <si>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</si>
  <si>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</si>
  <si>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</si>
  <si>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</si>
  <si>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</si>
  <si>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</si>
  <si>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</si>
  <si>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</si>
  <si>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</si>
  <si>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</si>
  <si>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</si>
  <si>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</si>
  <si>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</si>
  <si>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</si>
  <si>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</si>
  <si>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</si>
  <si>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</si>
  <si>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</si>
  <si>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</si>
  <si>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</si>
  <si>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</si>
  <si>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</si>
  <si>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</si>
  <si>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</si>
  <si>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</si>
  <si>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</si>
  <si>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</si>
  <si>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</si>
  <si>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</si>
  <si>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</si>
  <si>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</si>
  <si>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</si>
  <si>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</si>
  <si>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</si>
  <si>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</si>
  <si>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</si>
  <si>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</si>
  <si>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</si>
  <si>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</si>
  <si>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</si>
  <si>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</si>
  <si>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</si>
  <si>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</si>
  <si>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</si>
  <si>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</si>
  <si>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</si>
  <si>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</si>
  <si>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</si>
  <si>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</si>
  <si>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</si>
  <si>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</si>
  <si>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</si>
  <si>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</si>
  <si>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</si>
  <si>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</si>
  <si>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</si>
  <si>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</si>
  <si>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</si>
  <si>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</si>
  <si>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</si>
  <si>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</si>
  <si>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</si>
  <si>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</si>
  <si>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</si>
  <si>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</si>
  <si>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</si>
  <si>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</si>
  <si>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</si>
  <si>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</si>
  <si>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</si>
  <si>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</si>
  <si>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</si>
  <si>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</si>
  <si>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</si>
  <si>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</si>
  <si>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</si>
  <si>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</si>
  <si>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</si>
  <si>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</si>
  <si>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</si>
  <si>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</si>
  <si>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</si>
  <si>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</si>
  <si>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</si>
  <si>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</si>
  <si>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</si>
  <si>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</si>
  <si>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</si>
  <si>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</si>
  <si>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</si>
  <si>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</si>
  <si>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</si>
  <si>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</si>
  <si>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</si>
  <si>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</si>
  <si>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</si>
  <si>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</si>
  <si>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</si>
  <si>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</si>
  <si>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</si>
  <si>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</si>
  <si>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</si>
  <si>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</si>
  <si>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</si>
  <si>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</si>
  <si>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</si>
  <si>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</si>
  <si>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</si>
  <si>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</si>
  <si>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</si>
  <si>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</si>
  <si>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</si>
  <si>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</si>
  <si>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</si>
  <si>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</si>
  <si>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</si>
  <si>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</si>
  <si>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</si>
  <si>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</si>
  <si>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</si>
  <si>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</si>
  <si>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</si>
  <si>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</si>
  <si>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</si>
  <si>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</si>
  <si>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</si>
  <si>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</si>
  <si>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</si>
  <si>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</si>
  <si>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</si>
  <si>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</si>
  <si>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</si>
  <si>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</si>
  <si>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</si>
  <si>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</si>
  <si>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</si>
  <si>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</si>
  <si>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</si>
  <si>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</si>
  <si>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</si>
  <si>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</si>
  <si>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</si>
  <si>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</si>
  <si>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</si>
  <si>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</si>
  <si>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</si>
  <si>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</si>
  <si>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</si>
  <si>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</si>
  <si>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</si>
  <si>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</si>
  <si>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</si>
  <si>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</si>
  <si>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</si>
  <si>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</si>
  <si>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</si>
  <si>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</si>
  <si>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</si>
  <si>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</si>
  <si>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</si>
  <si>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</si>
  <si>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</si>
  <si>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</si>
  <si>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</si>
  <si>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</si>
  <si>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</si>
  <si>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</si>
  <si>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</si>
  <si>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</si>
  <si>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</si>
  <si>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</si>
  <si>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</si>
  <si>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</si>
  <si>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</si>
  <si>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</si>
  <si>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</si>
  <si>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</si>
  <si>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</si>
  <si>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</si>
  <si>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</si>
  <si>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</si>
  <si>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</si>
  <si>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</si>
  <si>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</si>
  <si>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</si>
  <si>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</si>
  <si>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</si>
  <si>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</si>
  <si>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</si>
  <si>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</si>
  <si>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</si>
  <si>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</si>
  <si>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</si>
  <si>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</si>
  <si>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</si>
  <si>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</si>
  <si>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</si>
  <si>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</si>
  <si>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</si>
  <si>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</si>
  <si>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</si>
  <si>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</si>
  <si>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</si>
  <si>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</si>
  <si>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</si>
  <si>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</si>
  <si>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</si>
  <si>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</si>
  <si>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</si>
  <si>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</si>
  <si>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</si>
  <si>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</si>
  <si>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</si>
  <si>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</si>
  <si>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</si>
  <si>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</si>
  <si>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</si>
  <si>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</si>
  <si>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</si>
  <si>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</si>
  <si>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</si>
  <si>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</si>
  <si>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</si>
  <si>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</si>
  <si>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</si>
  <si>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</si>
  <si>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</si>
  <si>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</si>
  <si>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</si>
  <si>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</si>
  <si>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</si>
  <si>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</si>
  <si>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</si>
  <si>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</si>
  <si>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</si>
  <si>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</si>
  <si>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</si>
  <si>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</si>
  <si>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</si>
  <si>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</si>
  <si>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</si>
  <si>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</si>
  <si>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</si>
  <si>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</si>
  <si>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</si>
  <si>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</si>
  <si>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</si>
  <si>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</si>
  <si>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</si>
  <si>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</si>
  <si>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</si>
  <si>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</si>
  <si>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</si>
  <si>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</si>
  <si>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</si>
  <si>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</si>
  <si>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</si>
  <si>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</si>
  <si>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</si>
  <si>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</si>
  <si>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</si>
  <si>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</si>
  <si>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</si>
  <si>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</si>
  <si>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</si>
  <si>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</si>
  <si>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</si>
  <si>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</si>
  <si>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</si>
  <si>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</si>
  <si>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</si>
  <si>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</si>
  <si>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</si>
  <si>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</si>
  <si>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</si>
  <si>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</si>
  <si>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</si>
  <si>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</si>
  <si>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</si>
  <si>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</si>
  <si>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</si>
  <si>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</si>
  <si>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</si>
  <si>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</si>
  <si>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</si>
  <si>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</si>
  <si>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</si>
  <si>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</si>
  <si>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</si>
  <si>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</si>
  <si>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</si>
  <si>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</si>
  <si>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</si>
  <si>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</si>
  <si>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</si>
  <si>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</si>
  <si>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</si>
  <si>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</si>
  <si>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</si>
  <si>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</si>
  <si>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</si>
  <si>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</si>
  <si>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</si>
  <si>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</si>
  <si>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</si>
  <si>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</si>
  <si>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</si>
  <si>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</si>
  <si>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</si>
  <si>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</si>
  <si>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</si>
  <si>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</si>
  <si>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</si>
  <si>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</si>
  <si>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</si>
  <si>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</si>
  <si>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</si>
  <si>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</si>
  <si>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</si>
  <si>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</si>
  <si>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</si>
  <si>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</si>
  <si>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</si>
  <si>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</si>
  <si>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</si>
  <si>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</si>
  <si>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</si>
  <si>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</si>
  <si>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</si>
  <si>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</si>
  <si>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</si>
  <si>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</si>
  <si>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</si>
  <si>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</si>
  <si>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</si>
  <si>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</si>
  <si>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</si>
  <si>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</si>
  <si>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</si>
  <si>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</si>
  <si>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</si>
  <si>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</si>
  <si>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</si>
  <si>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</si>
  <si>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</si>
  <si>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</si>
  <si>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</si>
  <si>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</si>
  <si>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</si>
  <si>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</si>
  <si>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</si>
  <si>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</si>
  <si>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</si>
  <si>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</si>
  <si>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</si>
  <si>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</si>
  <si>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</si>
  <si>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</si>
  <si>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</si>
  <si>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</si>
  <si>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</si>
  <si>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</si>
  <si>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</si>
  <si>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</si>
  <si>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</si>
  <si>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</si>
  <si>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</si>
  <si>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</si>
  <si>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</si>
  <si>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</si>
  <si>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</si>
  <si>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</si>
  <si>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</si>
  <si>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</si>
  <si>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</si>
  <si>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</si>
  <si>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</si>
  <si>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</si>
  <si>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</si>
  <si>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</si>
  <si>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</si>
  <si>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</si>
  <si>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</si>
  <si>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</si>
  <si>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</si>
  <si>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</si>
  <si>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</si>
  <si>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</si>
  <si>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</si>
  <si>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</si>
  <si>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</si>
  <si>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</si>
  <si>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</si>
  <si>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</si>
  <si>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</si>
  <si>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</si>
  <si>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</si>
  <si>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</si>
  <si>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</si>
  <si>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</si>
  <si>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</si>
  <si>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</si>
  <si>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</si>
  <si>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</si>
  <si>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</si>
  <si>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</si>
  <si>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</si>
  <si>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</si>
  <si>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</si>
  <si>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</si>
  <si>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</si>
  <si>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</si>
  <si>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</si>
  <si>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</si>
  <si>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</si>
  <si>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</si>
  <si>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</si>
  <si>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</si>
  <si>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</si>
  <si>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</si>
  <si>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</si>
  <si>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</si>
  <si>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</si>
  <si>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</si>
  <si>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</si>
  <si>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</si>
  <si>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</si>
  <si>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</si>
  <si>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</si>
  <si>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</si>
  <si>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</si>
  <si>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</si>
  <si>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</si>
  <si>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</si>
  <si>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</si>
  <si>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</si>
  <si>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</si>
  <si>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</si>
  <si>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</si>
  <si>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</si>
  <si>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</si>
  <si>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</si>
  <si>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</si>
  <si>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</si>
  <si>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</si>
  <si>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</si>
  <si>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</si>
  <si>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</si>
  <si>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</si>
  <si>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</si>
  <si>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</si>
  <si>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</si>
  <si>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</si>
  <si>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</si>
  <si>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</si>
  <si>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</si>
  <si>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</si>
  <si>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</si>
  <si>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</si>
  <si>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</si>
  <si>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</si>
  <si>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</si>
  <si>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</si>
  <si>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</si>
  <si>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</si>
  <si>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</si>
  <si>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</si>
  <si>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</si>
  <si>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</si>
  <si>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</si>
  <si>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</si>
  <si>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</si>
  <si>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</si>
  <si>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</si>
  <si>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</si>
  <si>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</si>
  <si>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</si>
  <si>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</si>
  <si>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</si>
  <si>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</si>
  <si>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</si>
  <si>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</si>
  <si>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</si>
  <si>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</si>
  <si>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</si>
  <si>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</si>
  <si>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</si>
  <si>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</si>
  <si>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</si>
  <si>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</si>
  <si>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</si>
  <si>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</si>
  <si>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</si>
  <si>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</si>
  <si>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</si>
  <si>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</si>
  <si>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</si>
  <si>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</si>
  <si>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</si>
  <si>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</si>
  <si>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</si>
  <si>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</si>
  <si>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</si>
  <si>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</si>
  <si>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</si>
  <si>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</si>
  <si>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</si>
  <si>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</si>
  <si>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</si>
  <si>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</si>
  <si>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</si>
  <si>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</si>
  <si>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</si>
  <si>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</si>
  <si>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</si>
  <si>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</si>
  <si>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</si>
  <si>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</si>
  <si>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</si>
  <si>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</si>
  <si>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</si>
  <si>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</si>
  <si>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</si>
  <si>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</si>
  <si>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</si>
  <si>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</si>
  <si>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</si>
  <si>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</si>
  <si>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</si>
  <si>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</si>
  <si>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</si>
  <si>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</si>
  <si>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</si>
  <si>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</si>
  <si>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</si>
  <si>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</si>
  <si>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</si>
  <si>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</si>
  <si>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</si>
  <si>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</si>
  <si>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</si>
  <si>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</si>
  <si>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</si>
  <si>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</si>
  <si>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</si>
  <si>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</si>
  <si>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</si>
  <si>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</si>
  <si>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</si>
  <si>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</si>
  <si>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</si>
  <si>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</si>
  <si>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</si>
  <si>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</si>
  <si>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</si>
  <si>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</si>
  <si>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</si>
  <si>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</si>
  <si>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</si>
  <si>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</si>
  <si>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</si>
  <si>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</si>
  <si>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</si>
  <si>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</si>
  <si>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</si>
  <si>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</si>
  <si>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</si>
  <si>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</si>
  <si>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</si>
  <si>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</si>
  <si>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</si>
  <si>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</si>
  <si>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</si>
  <si>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</si>
  <si>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</si>
  <si>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</si>
  <si>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</si>
  <si>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</si>
  <si>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</si>
  <si>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</si>
  <si>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</si>
  <si>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</si>
  <si>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</si>
  <si>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</si>
  <si>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</si>
  <si>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</si>
  <si>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</si>
  <si>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</si>
  <si>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</si>
  <si>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</si>
  <si>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</si>
  <si>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</si>
  <si>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</si>
  <si>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</si>
  <si>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</si>
  <si>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</si>
  <si>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</si>
  <si>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</si>
  <si>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</si>
  <si>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</si>
  <si>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</si>
  <si>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</si>
  <si>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</si>
  <si>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</si>
  <si>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</si>
  <si>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</si>
  <si>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</si>
  <si>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</si>
  <si>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</si>
  <si>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</si>
  <si>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</si>
  <si>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</si>
  <si>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</si>
  <si>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</si>
  <si>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</si>
  <si>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</si>
  <si>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</si>
  <si>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</si>
  <si>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</si>
  <si>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</si>
  <si>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</si>
  <si>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</si>
  <si>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</si>
  <si>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</si>
  <si>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</si>
  <si>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</si>
  <si>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</si>
  <si>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</si>
  <si>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</si>
  <si>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</si>
  <si>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</si>
  <si>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</si>
  <si>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</si>
  <si>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</si>
  <si>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</si>
  <si>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</si>
  <si>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</si>
  <si>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</si>
  <si>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</si>
  <si>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</si>
  <si>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</si>
  <si>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</si>
  <si>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</si>
  <si>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</si>
  <si>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</si>
  <si>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</si>
  <si>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</si>
  <si>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</si>
  <si>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</si>
  <si>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</si>
  <si>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</si>
  <si>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</si>
  <si>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</si>
  <si>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</si>
  <si>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</si>
  <si>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</si>
  <si>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</si>
  <si>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</si>
  <si>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</si>
  <si>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</si>
  <si>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</si>
  <si>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</si>
  <si>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</si>
  <si>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</si>
  <si>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</si>
  <si>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</si>
  <si>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</si>
  <si>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</si>
  <si>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</si>
  <si>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</si>
  <si>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</si>
  <si>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</si>
  <si>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</si>
  <si>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</si>
  <si>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</si>
  <si>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</si>
  <si>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</si>
  <si>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</si>
  <si>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</si>
  <si>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</si>
  <si>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</si>
  <si>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</si>
  <si>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</si>
  <si>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</si>
  <si>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</si>
  <si>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</si>
  <si>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</si>
  <si>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</si>
  <si>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</si>
  <si>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</si>
  <si>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</si>
  <si>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</si>
  <si>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</si>
  <si>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</si>
  <si>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</si>
  <si>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</si>
  <si>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</si>
  <si>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</si>
  <si>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</si>
  <si>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</si>
  <si>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</si>
  <si>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</si>
  <si>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</si>
  <si>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</si>
  <si>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</si>
  <si>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</si>
  <si>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</si>
  <si>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</si>
  <si>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</si>
  <si>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</si>
  <si>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</si>
  <si>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</si>
  <si>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</si>
  <si>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</si>
  <si>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</si>
  <si>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</si>
  <si>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</si>
  <si>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</si>
  <si>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</si>
  <si>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</si>
  <si>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</si>
  <si>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</si>
  <si>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</si>
  <si>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</si>
  <si>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</si>
  <si>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</si>
  <si>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</si>
  <si>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</si>
  <si>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</si>
  <si>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</si>
  <si>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</si>
  <si>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</si>
  <si>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</si>
  <si>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</si>
  <si>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</si>
  <si>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</si>
  <si>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</si>
  <si>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</si>
  <si>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</si>
  <si>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</si>
  <si>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</si>
  <si>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</si>
  <si>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</si>
  <si>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</si>
  <si>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</si>
  <si>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</si>
  <si>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</si>
  <si>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</si>
  <si>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</si>
  <si>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</si>
  <si>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</si>
  <si>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</si>
  <si>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</si>
  <si>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</si>
  <si>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</si>
  <si>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</si>
  <si>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</si>
  <si>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</si>
  <si>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</si>
  <si>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</si>
  <si>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</si>
  <si>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</si>
  <si>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</si>
  <si>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</si>
  <si>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</si>
  <si>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</si>
  <si>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</si>
  <si>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</si>
  <si>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</si>
  <si>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</si>
  <si>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</si>
  <si>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</si>
  <si>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</si>
  <si>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</si>
  <si>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</si>
  <si>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</si>
  <si>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</si>
  <si>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</si>
  <si>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</si>
  <si>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</si>
  <si>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</si>
  <si>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</si>
  <si>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</si>
  <si>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</si>
  <si>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</si>
  <si>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</si>
  <si>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</si>
  <si>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</si>
  <si>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</si>
  <si>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</si>
  <si>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</si>
  <si>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</si>
  <si>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</si>
  <si>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</si>
  <si>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</si>
  <si>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</si>
  <si>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</si>
  <si>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</si>
  <si>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</si>
  <si>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</si>
  <si>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</si>
  <si>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</si>
  <si>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</si>
  <si>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</si>
  <si>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</si>
  <si>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</si>
  <si>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</si>
  <si>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</si>
  <si>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</si>
  <si>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</si>
  <si>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</si>
  <si>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</si>
  <si>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</si>
  <si>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</si>
  <si>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</si>
  <si>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</si>
  <si>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</si>
  <si>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</si>
  <si>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</si>
  <si>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</si>
  <si>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</si>
  <si>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</si>
  <si>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</si>
  <si>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</si>
  <si>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</si>
  <si>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</si>
  <si>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</si>
  <si>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</si>
  <si>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</si>
  <si>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</si>
  <si>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</si>
  <si>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</si>
  <si>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</si>
  <si>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</si>
  <si>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</si>
  <si>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</si>
  <si>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</si>
  <si>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</si>
  <si>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</si>
  <si>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</si>
  <si>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</si>
  <si>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</si>
  <si>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</si>
  <si>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</si>
  <si>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</si>
  <si>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</si>
  <si>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</si>
  <si>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</si>
  <si>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</si>
  <si>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</si>
  <si>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</si>
  <si>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</si>
  <si>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</si>
  <si>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</si>
  <si>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</si>
  <si>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</si>
  <si>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</si>
  <si>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</si>
  <si>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</si>
  <si>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</si>
  <si>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</si>
  <si>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</si>
  <si>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</si>
  <si>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</si>
  <si>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</si>
  <si>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</si>
  <si>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</si>
  <si>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</si>
  <si>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</si>
  <si>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</si>
  <si>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</si>
  <si>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</si>
  <si>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</si>
  <si>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</si>
  <si>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</si>
  <si>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</si>
  <si>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</si>
  <si>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</si>
  <si>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</si>
  <si>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</si>
  <si>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</si>
  <si>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</si>
  <si>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</si>
  <si>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</si>
  <si>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</si>
  <si>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</si>
  <si>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</si>
  <si>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</si>
  <si>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</si>
  <si>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</si>
  <si>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</si>
  <si>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</si>
  <si>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</si>
  <si>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</si>
  <si>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</si>
  <si>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</si>
  <si>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</si>
  <si>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</si>
  <si>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</si>
  <si>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</si>
  <si>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</si>
  <si>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</si>
  <si>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</si>
  <si>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</si>
  <si>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</si>
  <si>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</si>
  <si>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</si>
  <si>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</si>
  <si>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</si>
  <si>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</si>
  <si>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</si>
  <si>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</si>
  <si>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</si>
  <si>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</si>
  <si>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</si>
  <si>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</si>
  <si>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</si>
  <si>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</si>
  <si>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</si>
  <si>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</si>
  <si>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</si>
  <si>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</si>
  <si>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</si>
  <si>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</si>
  <si>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</si>
  <si>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</si>
  <si>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</si>
  <si>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</si>
  <si>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</si>
  <si>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</si>
  <si>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</si>
  <si>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</si>
  <si>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</si>
  <si>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</si>
  <si>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</si>
  <si>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</si>
  <si>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</si>
  <si>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</si>
  <si>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</si>
  <si>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</si>
  <si>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</si>
  <si>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</si>
  <si>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</si>
  <si>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</si>
  <si>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</si>
  <si>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</si>
  <si>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</si>
  <si>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</si>
  <si>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</si>
  <si>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</si>
  <si>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</si>
  <si>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</si>
  <si>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</si>
  <si>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</si>
  <si>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</si>
  <si>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</si>
  <si>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</si>
  <si>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</si>
  <si>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</si>
  <si>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</si>
  <si>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</si>
  <si>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</si>
  <si>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</si>
  <si>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</si>
  <si>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</si>
  <si>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</si>
  <si>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</si>
  <si>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</si>
  <si>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</si>
  <si>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</si>
  <si>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</si>
  <si>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</si>
  <si>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</si>
  <si>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</si>
  <si>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</si>
  <si>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</si>
  <si>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</si>
  <si>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</si>
  <si>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</si>
  <si>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</si>
  <si>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</si>
  <si>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</si>
  <si>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</si>
  <si>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</si>
  <si>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</si>
  <si>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</si>
  <si>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</si>
  <si>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</si>
  <si>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</si>
  <si>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</si>
  <si>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</si>
  <si>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</si>
  <si>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</si>
  <si>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</si>
  <si>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</si>
  <si>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</si>
  <si>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</si>
  <si>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</si>
  <si>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</si>
  <si>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</si>
  <si>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</si>
  <si>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</si>
  <si>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</si>
  <si>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</si>
  <si>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</si>
  <si>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</si>
  <si>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</si>
  <si>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</si>
  <si>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</si>
  <si>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</si>
  <si>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</si>
  <si>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</si>
  <si>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</si>
  <si>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</si>
  <si>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</si>
  <si>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</si>
  <si>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</si>
  <si>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</si>
  <si>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</si>
  <si>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</si>
  <si>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</si>
  <si>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</si>
  <si>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</si>
  <si>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</si>
  <si>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</si>
  <si>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</si>
  <si>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</si>
  <si>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</si>
  <si>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</si>
  <si>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</si>
  <si>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</si>
  <si>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</si>
  <si>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</si>
  <si>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</si>
  <si>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</si>
  <si>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</si>
  <si>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</si>
  <si>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</si>
  <si>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</si>
  <si>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</si>
  <si>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</si>
  <si>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</si>
  <si>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</si>
  <si>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</si>
  <si>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</si>
  <si>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</si>
  <si>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</si>
  <si>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</si>
  <si>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</si>
  <si>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</si>
  <si>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</si>
  <si>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</si>
  <si>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</si>
  <si>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</si>
  <si>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</si>
  <si>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</si>
  <si>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</si>
  <si>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</si>
  <si>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</si>
  <si>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</si>
  <si>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</si>
  <si>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</si>
  <si>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</si>
  <si>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</si>
  <si>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</si>
  <si>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</si>
  <si>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</si>
  <si>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</si>
  <si>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</si>
  <si>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</si>
  <si>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</si>
  <si>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</si>
  <si>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</si>
  <si>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</si>
  <si>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</si>
  <si>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</si>
  <si>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</si>
  <si>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</si>
  <si>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</si>
  <si>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</si>
  <si>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</si>
  <si>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</si>
  <si>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</si>
  <si>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</si>
  <si>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</si>
  <si>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</si>
  <si>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</si>
  <si>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</si>
  <si>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</si>
  <si>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</si>
  <si>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</si>
  <si>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</si>
  <si>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</si>
  <si>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</si>
  <si>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</si>
  <si>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</si>
  <si>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</si>
  <si>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</si>
  <si>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</si>
  <si>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</si>
  <si>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</si>
  <si>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</si>
  <si>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</si>
  <si>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</si>
  <si>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</si>
  <si>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</si>
  <si>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</si>
  <si>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</si>
  <si>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</si>
  <si>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</si>
  <si>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</si>
  <si>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</si>
  <si>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ABRACON LLC.</t>
  </si>
  <si>
    <t>79-793-7232</t>
  </si>
  <si>
    <t>DUNS</t>
  </si>
  <si>
    <t>5101 Hidden Creek Ln. Spicewood, Texas 78669</t>
  </si>
  <si>
    <t>Leo Santillan</t>
  </si>
  <si>
    <t>leonel.santillan@abracon.com</t>
  </si>
  <si>
    <t>512-371-6159</t>
  </si>
  <si>
    <t>Reuben Quintanilla</t>
  </si>
  <si>
    <t>Quality &amp; Process Improvement Manager</t>
  </si>
  <si>
    <t>reuben.quintanilla@abracon.com</t>
  </si>
  <si>
    <t>100%</t>
  </si>
  <si>
    <t xml:space="preserve">Our policy is to promote non-use of conflict minerals across the entire supply chain including us. </t>
  </si>
  <si>
    <t>http://www.abracon.com/Support/ABRACON%20Letter%20of%20Non-use%20of%20Conflict%20Minerals.pdf</t>
  </si>
  <si>
    <t>1-6-3/Murotani,Nishi-ku,Kobe,Hyogo/Japan</t>
  </si>
  <si>
    <t>Nobuyuki Yamanaka</t>
  </si>
  <si>
    <t>n-yamanaka@asahipretec.com</t>
  </si>
  <si>
    <t>recycled</t>
  </si>
  <si>
    <t>Eco-System Recycling Co., Ltd.</t>
  </si>
  <si>
    <t>2-12-30 Aoyagi, Soka, Saitama 340-0002 JAPAN</t>
  </si>
  <si>
    <t>Koji Uwatoko</t>
  </si>
  <si>
    <t>k-uwatoko@ifk.co.jp</t>
  </si>
  <si>
    <t>189-1  Matsubara Sayamagahara</t>
  </si>
  <si>
    <t>(+81)4-2934-5357</t>
  </si>
  <si>
    <t>conflict-free@matsuda-sangyo.co.jp</t>
  </si>
  <si>
    <t>1-5-1 Shiomachi</t>
  </si>
  <si>
    <t>(+81)3-5437-8000</t>
  </si>
  <si>
    <t xml:space="preserve">145-1, Funaya-Aza-Shinchi-Otu, </t>
  </si>
  <si>
    <t>(+81)3-3436-7701</t>
  </si>
  <si>
    <t>nagatoro2-14</t>
  </si>
  <si>
    <t>Akihiko Okuda</t>
  </si>
  <si>
    <t>okuda@ml.tanaka.co.jp/kw6</t>
  </si>
  <si>
    <t>2, Shobucho Showanuma</t>
  </si>
  <si>
    <t>(+81)3-3252-0171</t>
  </si>
  <si>
    <t>Heraeus Technology Centre, 30 On Chuen Street, On Lok Tsuen, Fanling, N.T.</t>
  </si>
  <si>
    <t>Hong Kong SAR</t>
  </si>
  <si>
    <t>HLH</t>
  </si>
  <si>
    <t>hlh@heraeus.com</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</si>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</sst>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leonel.santillan@abraco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abracon.com/Support/ABRACON%20Letter%20of%20Non-use%20of%20Conflict%20Minerals.pdf" TargetMode="External"/><Relationship Id="rId4" Type="http://schemas.openxmlformats.org/officeDocument/2006/relationships/hyperlink" Target="mailto:reuben.quintanilla@abraco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843</v>
      </c>
      <c r="C2" s="3"/>
      <c r="D2" s="175"/>
      <c r="E2" s="3"/>
      <c r="F2" s="3"/>
      <c r="G2" s="25"/>
    </row>
    <row r="3" spans="1:7">
      <c r="A3" s="293"/>
      <c r="B3" s="3" t="s">
        <v>835</v>
      </c>
      <c r="C3" s="5"/>
      <c r="D3" s="176"/>
      <c r="E3" s="3"/>
      <c r="F3" s="5"/>
      <c r="G3" s="25"/>
    </row>
    <row r="4" spans="1:7" ht="15.75">
      <c r="A4" s="293"/>
      <c r="B4" s="30" t="s">
        <v>845</v>
      </c>
      <c r="C4" s="6"/>
      <c r="D4" s="177"/>
      <c r="E4" s="3"/>
      <c r="F4" s="6"/>
      <c r="G4" s="25"/>
    </row>
    <row r="5" spans="1:7">
      <c r="A5" s="293"/>
      <c r="B5" s="29" t="s">
        <v>1036</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846</v>
      </c>
      <c r="C9" s="296"/>
      <c r="D9" s="296"/>
      <c r="E9" s="296"/>
      <c r="F9" s="296"/>
      <c r="G9" s="25"/>
    </row>
    <row r="10" spans="1:7" ht="27" customHeight="1">
      <c r="A10" s="293"/>
      <c r="B10" s="297" t="s">
        <v>438</v>
      </c>
      <c r="C10" s="297"/>
      <c r="D10" s="297"/>
      <c r="E10" s="297"/>
      <c r="F10" s="297"/>
      <c r="G10" s="25"/>
    </row>
    <row r="11" spans="1:7" ht="27" customHeight="1">
      <c r="A11" s="293"/>
      <c r="B11" s="298"/>
      <c r="C11" s="298"/>
      <c r="D11" s="298"/>
      <c r="E11" s="298"/>
      <c r="F11" s="298"/>
      <c r="G11" s="25"/>
    </row>
    <row r="12" spans="1:7">
      <c r="A12" s="293"/>
      <c r="B12" s="31" t="s">
        <v>844</v>
      </c>
      <c r="C12" s="32" t="s">
        <v>847</v>
      </c>
      <c r="D12" s="179" t="s">
        <v>848</v>
      </c>
      <c r="E12" s="32" t="s">
        <v>612</v>
      </c>
      <c r="F12" s="32" t="s">
        <v>613</v>
      </c>
      <c r="G12" s="25"/>
    </row>
    <row r="13" spans="1:7" ht="33.75">
      <c r="A13" s="293"/>
      <c r="B13" s="2">
        <v>1</v>
      </c>
      <c r="C13" s="27" t="s">
        <v>1084</v>
      </c>
      <c r="D13" s="28" t="s">
        <v>872</v>
      </c>
      <c r="E13" s="163" t="s">
        <v>849</v>
      </c>
      <c r="F13" s="163"/>
      <c r="G13" s="25"/>
    </row>
    <row r="14" spans="1:7" ht="33.75">
      <c r="A14" s="293"/>
      <c r="B14" s="2">
        <v>2</v>
      </c>
      <c r="C14" s="27" t="s">
        <v>1084</v>
      </c>
      <c r="D14" s="28" t="s">
        <v>1021</v>
      </c>
      <c r="E14" s="163" t="s">
        <v>530</v>
      </c>
      <c r="F14" s="163" t="s">
        <v>531</v>
      </c>
      <c r="G14" s="25"/>
    </row>
    <row r="15" spans="1:7" ht="89.1" customHeight="1">
      <c r="A15" s="293"/>
      <c r="B15" s="299">
        <v>2.0099999999999998</v>
      </c>
      <c r="C15" s="302" t="s">
        <v>1084</v>
      </c>
      <c r="D15" s="305" t="s">
        <v>2246</v>
      </c>
      <c r="E15" s="164" t="s">
        <v>614</v>
      </c>
      <c r="F15" s="164" t="s">
        <v>617</v>
      </c>
      <c r="G15" s="25"/>
    </row>
    <row r="16" spans="1:7" ht="99" customHeight="1">
      <c r="A16" s="293"/>
      <c r="B16" s="300"/>
      <c r="C16" s="303"/>
      <c r="D16" s="306"/>
      <c r="E16" s="165"/>
      <c r="F16" s="165" t="s">
        <v>615</v>
      </c>
      <c r="G16" s="25"/>
    </row>
    <row r="17" spans="1:7" ht="63" customHeight="1">
      <c r="A17" s="293"/>
      <c r="B17" s="301"/>
      <c r="C17" s="304"/>
      <c r="D17" s="307"/>
      <c r="E17" s="27"/>
      <c r="F17" s="27" t="s">
        <v>616</v>
      </c>
      <c r="G17" s="25"/>
    </row>
    <row r="18" spans="1:7" ht="117" customHeight="1">
      <c r="A18" s="293"/>
      <c r="B18" s="299">
        <v>2.02</v>
      </c>
      <c r="C18" s="302" t="s">
        <v>1084</v>
      </c>
      <c r="D18" s="305" t="s">
        <v>2247</v>
      </c>
      <c r="E18" s="164" t="s">
        <v>439</v>
      </c>
      <c r="F18" s="164" t="s">
        <v>525</v>
      </c>
      <c r="G18" s="25"/>
    </row>
    <row r="19" spans="1:7" ht="71.099999999999994" customHeight="1">
      <c r="A19" s="293"/>
      <c r="B19" s="300"/>
      <c r="C19" s="303"/>
      <c r="D19" s="306"/>
      <c r="E19" s="165" t="s">
        <v>529</v>
      </c>
      <c r="F19" s="165" t="s">
        <v>440</v>
      </c>
      <c r="G19" s="25"/>
    </row>
    <row r="20" spans="1:7" ht="90.75" customHeight="1">
      <c r="A20" s="293"/>
      <c r="B20" s="300"/>
      <c r="C20" s="303"/>
      <c r="D20" s="306"/>
      <c r="E20" s="165"/>
      <c r="F20" s="165" t="s">
        <v>619</v>
      </c>
      <c r="G20" s="25"/>
    </row>
    <row r="21" spans="1:7" ht="74.25" customHeight="1">
      <c r="A21" s="293"/>
      <c r="B21" s="301"/>
      <c r="C21" s="304"/>
      <c r="D21" s="307"/>
      <c r="E21" s="27"/>
      <c r="F21" s="27" t="s">
        <v>618</v>
      </c>
      <c r="G21" s="25"/>
    </row>
    <row r="22" spans="1:7" ht="90" customHeight="1">
      <c r="A22" s="293"/>
      <c r="B22" s="311">
        <v>2.0299999999999998</v>
      </c>
      <c r="C22" s="311" t="s">
        <v>818</v>
      </c>
      <c r="D22" s="314" t="s">
        <v>2248</v>
      </c>
      <c r="E22" s="302" t="s">
        <v>437</v>
      </c>
      <c r="F22" s="164" t="s">
        <v>460</v>
      </c>
      <c r="G22" s="25"/>
    </row>
    <row r="23" spans="1:7" ht="109.5" customHeight="1">
      <c r="A23" s="293"/>
      <c r="B23" s="312"/>
      <c r="C23" s="312"/>
      <c r="D23" s="315"/>
      <c r="E23" s="303"/>
      <c r="F23" s="165" t="s">
        <v>819</v>
      </c>
      <c r="G23" s="25"/>
    </row>
    <row r="24" spans="1:7" ht="74.25" customHeight="1">
      <c r="A24" s="293"/>
      <c r="B24" s="313"/>
      <c r="C24" s="313"/>
      <c r="D24" s="316"/>
      <c r="E24" s="304"/>
      <c r="F24" s="27" t="s">
        <v>436</v>
      </c>
      <c r="G24" s="25"/>
    </row>
    <row r="25" spans="1:7" ht="72" customHeight="1">
      <c r="A25" s="293"/>
      <c r="B25" s="2" t="s">
        <v>458</v>
      </c>
      <c r="C25" s="27" t="s">
        <v>459</v>
      </c>
      <c r="D25" s="28" t="s">
        <v>2249</v>
      </c>
      <c r="E25" s="27" t="s">
        <v>2244</v>
      </c>
      <c r="F25" s="27" t="s">
        <v>461</v>
      </c>
      <c r="G25" s="25"/>
    </row>
    <row r="26" spans="1:7" ht="98.1" customHeight="1">
      <c r="A26" s="293"/>
      <c r="B26" s="308">
        <v>3</v>
      </c>
      <c r="C26" s="299" t="s">
        <v>70</v>
      </c>
      <c r="D26" s="305" t="s">
        <v>2250</v>
      </c>
      <c r="E26" s="302" t="s">
        <v>0</v>
      </c>
      <c r="F26" s="164" t="s">
        <v>64</v>
      </c>
      <c r="G26" s="25"/>
    </row>
    <row r="27" spans="1:7" ht="90" customHeight="1">
      <c r="A27" s="293"/>
      <c r="B27" s="309"/>
      <c r="C27" s="300"/>
      <c r="D27" s="306"/>
      <c r="E27" s="303"/>
      <c r="F27" s="165" t="s">
        <v>59</v>
      </c>
      <c r="G27" s="25"/>
    </row>
    <row r="28" spans="1:7" ht="19.350000000000001" customHeight="1">
      <c r="A28" s="293"/>
      <c r="B28" s="309"/>
      <c r="C28" s="300"/>
      <c r="D28" s="306"/>
      <c r="E28" s="303"/>
      <c r="F28" s="165" t="s">
        <v>60</v>
      </c>
      <c r="G28" s="25"/>
    </row>
    <row r="29" spans="1:7" ht="74.650000000000006" customHeight="1">
      <c r="A29" s="293"/>
      <c r="B29" s="309"/>
      <c r="C29" s="300"/>
      <c r="D29" s="306"/>
      <c r="E29" s="303"/>
      <c r="F29" s="165" t="s">
        <v>61</v>
      </c>
      <c r="G29" s="25"/>
    </row>
    <row r="30" spans="1:7" ht="62.65" customHeight="1">
      <c r="A30" s="293"/>
      <c r="B30" s="309"/>
      <c r="C30" s="300"/>
      <c r="D30" s="306"/>
      <c r="E30" s="303"/>
      <c r="F30" s="165" t="s">
        <v>62</v>
      </c>
      <c r="G30" s="25"/>
    </row>
    <row r="31" spans="1:7" ht="81" customHeight="1">
      <c r="A31" s="293"/>
      <c r="B31" s="309"/>
      <c r="C31" s="300"/>
      <c r="D31" s="306"/>
      <c r="E31" s="303"/>
      <c r="F31" s="165" t="s">
        <v>63</v>
      </c>
      <c r="G31" s="25"/>
    </row>
    <row r="32" spans="1:7" ht="48.75" customHeight="1">
      <c r="A32" s="293"/>
      <c r="B32" s="309"/>
      <c r="C32" s="300"/>
      <c r="D32" s="306"/>
      <c r="E32" s="303"/>
      <c r="F32" s="165" t="s">
        <v>66</v>
      </c>
      <c r="G32" s="25"/>
    </row>
    <row r="33" spans="1:7" ht="98.65" customHeight="1">
      <c r="A33" s="293"/>
      <c r="B33" s="309"/>
      <c r="C33" s="300"/>
      <c r="D33" s="306"/>
      <c r="E33" s="303"/>
      <c r="F33" s="165" t="s">
        <v>65</v>
      </c>
      <c r="G33" s="25"/>
    </row>
    <row r="34" spans="1:7" ht="89.1" customHeight="1">
      <c r="A34" s="293"/>
      <c r="B34" s="309"/>
      <c r="C34" s="300"/>
      <c r="D34" s="306"/>
      <c r="E34" s="303"/>
      <c r="F34" s="165" t="s">
        <v>67</v>
      </c>
      <c r="G34" s="25"/>
    </row>
    <row r="35" spans="1:7" ht="29.1" customHeight="1">
      <c r="A35" s="293"/>
      <c r="B35" s="309"/>
      <c r="C35" s="300"/>
      <c r="D35" s="306"/>
      <c r="E35" s="303"/>
      <c r="F35" s="165" t="s">
        <v>68</v>
      </c>
      <c r="G35" s="25"/>
    </row>
    <row r="36" spans="1:7" ht="126.75">
      <c r="A36" s="293"/>
      <c r="B36" s="310"/>
      <c r="C36" s="301"/>
      <c r="D36" s="307"/>
      <c r="E36" s="304"/>
      <c r="F36" s="166" t="s">
        <v>69</v>
      </c>
      <c r="G36" s="25"/>
    </row>
    <row r="37" spans="1:7" ht="112.5">
      <c r="A37" s="293"/>
      <c r="B37" s="141">
        <v>3.01</v>
      </c>
      <c r="C37" s="142" t="s">
        <v>70</v>
      </c>
      <c r="D37" s="28" t="s">
        <v>2251</v>
      </c>
      <c r="E37" s="167" t="s">
        <v>1323</v>
      </c>
      <c r="F37" s="168" t="s">
        <v>1427</v>
      </c>
      <c r="G37" s="25"/>
    </row>
    <row r="38" spans="1:7" ht="101.25">
      <c r="A38" s="293"/>
      <c r="B38" s="141">
        <v>3.02</v>
      </c>
      <c r="C38" s="142" t="s">
        <v>1356</v>
      </c>
      <c r="D38" s="28" t="s">
        <v>2252</v>
      </c>
      <c r="E38" s="167" t="s">
        <v>1371</v>
      </c>
      <c r="F38" s="168" t="s">
        <v>1428</v>
      </c>
      <c r="G38" s="25"/>
    </row>
    <row r="39" spans="1:7" ht="101.25">
      <c r="A39" s="293"/>
      <c r="B39" s="150">
        <v>4</v>
      </c>
      <c r="C39" s="149" t="s">
        <v>1524</v>
      </c>
      <c r="D39" s="28" t="s">
        <v>2253</v>
      </c>
      <c r="E39" s="27" t="s">
        <v>2198</v>
      </c>
      <c r="F39" s="27" t="s">
        <v>1525</v>
      </c>
      <c r="G39" s="25"/>
    </row>
    <row r="40" spans="1:7" ht="56.25">
      <c r="A40" s="293"/>
      <c r="B40" s="141">
        <v>4.01</v>
      </c>
      <c r="C40" s="149" t="s">
        <v>1524</v>
      </c>
      <c r="D40" s="28" t="s">
        <v>2255</v>
      </c>
      <c r="E40" s="27" t="s">
        <v>2210</v>
      </c>
      <c r="F40" s="27" t="s">
        <v>2214</v>
      </c>
      <c r="G40" s="25"/>
    </row>
    <row r="41" spans="1:7" ht="56.25">
      <c r="A41" s="293"/>
      <c r="B41" s="141" t="s">
        <v>2242</v>
      </c>
      <c r="C41" s="149" t="s">
        <v>1524</v>
      </c>
      <c r="D41" s="28" t="s">
        <v>2254</v>
      </c>
      <c r="E41" s="27" t="s">
        <v>2245</v>
      </c>
      <c r="F41" s="27" t="s">
        <v>2243</v>
      </c>
      <c r="G41" s="25"/>
    </row>
    <row r="42" spans="1:7" ht="56.25">
      <c r="A42" s="293"/>
      <c r="B42" s="141" t="s">
        <v>2276</v>
      </c>
      <c r="C42" s="149" t="s">
        <v>1524</v>
      </c>
      <c r="D42" s="28" t="s">
        <v>2281</v>
      </c>
      <c r="E42" s="27" t="s">
        <v>2244</v>
      </c>
      <c r="F42" s="27" t="s">
        <v>2277</v>
      </c>
      <c r="G42" s="25"/>
    </row>
    <row r="43" spans="1:7" ht="123.75">
      <c r="A43" s="293"/>
      <c r="B43" s="160">
        <v>4.0999999999999996</v>
      </c>
      <c r="C43" s="149" t="s">
        <v>2280</v>
      </c>
      <c r="D43" s="161">
        <v>42867</v>
      </c>
      <c r="E43" s="169" t="s">
        <v>2283</v>
      </c>
      <c r="F43" s="27" t="s">
        <v>2282</v>
      </c>
      <c r="G43" s="25"/>
    </row>
    <row r="44" spans="1:7" ht="78.75">
      <c r="A44" s="293"/>
      <c r="B44" s="160">
        <v>4.2</v>
      </c>
      <c r="C44" s="149" t="s">
        <v>2280</v>
      </c>
      <c r="D44" s="161">
        <v>42704</v>
      </c>
      <c r="E44" s="169" t="s">
        <v>2479</v>
      </c>
      <c r="F44" s="27" t="s">
        <v>2454</v>
      </c>
      <c r="G44" s="25"/>
    </row>
    <row r="45" spans="1:7" ht="157.5">
      <c r="A45" s="293"/>
      <c r="B45" s="202">
        <v>5</v>
      </c>
      <c r="C45" s="149" t="s">
        <v>2280</v>
      </c>
      <c r="D45" s="161">
        <v>42867</v>
      </c>
      <c r="E45" s="169" t="s">
        <v>12705</v>
      </c>
      <c r="F45" s="27" t="s">
        <v>12427</v>
      </c>
      <c r="G45" s="25"/>
    </row>
    <row r="46" spans="1:7" ht="45">
      <c r="A46" s="293"/>
      <c r="B46" s="160">
        <v>5.01</v>
      </c>
      <c r="C46" s="149" t="s">
        <v>2280</v>
      </c>
      <c r="D46" s="161">
        <v>42907</v>
      </c>
      <c r="E46" s="169" t="s">
        <v>15521</v>
      </c>
      <c r="F46" s="27" t="s">
        <v>12427</v>
      </c>
      <c r="G46" s="25"/>
    </row>
    <row r="47" spans="1:7" ht="67.5">
      <c r="A47" s="293"/>
      <c r="B47" s="160">
        <v>5.0999999999999996</v>
      </c>
      <c r="C47" s="149" t="s">
        <v>2280</v>
      </c>
      <c r="D47" s="161">
        <v>43070</v>
      </c>
      <c r="E47" s="169" t="s">
        <v>12915</v>
      </c>
      <c r="F47" s="27" t="s">
        <v>12916</v>
      </c>
      <c r="G47" s="25"/>
    </row>
    <row r="48" spans="1:7" ht="56.25">
      <c r="A48" s="293"/>
      <c r="B48" s="160">
        <v>5.1100000000000003</v>
      </c>
      <c r="C48" s="149" t="s">
        <v>13152</v>
      </c>
      <c r="D48" s="161">
        <v>43217</v>
      </c>
      <c r="E48" s="169" t="s">
        <v>13278</v>
      </c>
      <c r="F48" s="27" t="s">
        <v>13186</v>
      </c>
      <c r="G48" s="25"/>
    </row>
    <row r="49" spans="1:7" ht="56.25">
      <c r="A49" s="293"/>
      <c r="B49" s="160">
        <v>5.12</v>
      </c>
      <c r="C49" s="149" t="s">
        <v>13152</v>
      </c>
      <c r="D49" s="161">
        <v>43581</v>
      </c>
      <c r="E49" s="169" t="s">
        <v>13278</v>
      </c>
      <c r="F49" s="27" t="s">
        <v>13832</v>
      </c>
      <c r="G49" s="25"/>
    </row>
    <row r="50" spans="1:7" ht="78.75">
      <c r="A50" s="293"/>
      <c r="B50" s="202">
        <v>6</v>
      </c>
      <c r="C50" s="149" t="s">
        <v>13152</v>
      </c>
      <c r="D50" s="161">
        <v>43964</v>
      </c>
      <c r="E50" s="169" t="s">
        <v>14048</v>
      </c>
      <c r="F50" s="27" t="s">
        <v>13835</v>
      </c>
      <c r="G50" s="25"/>
    </row>
    <row r="51" spans="1:7" ht="45">
      <c r="A51" s="293"/>
      <c r="B51" s="160">
        <v>6.01</v>
      </c>
      <c r="C51" s="149" t="s">
        <v>13152</v>
      </c>
      <c r="D51" s="161">
        <v>43970</v>
      </c>
      <c r="E51" s="169" t="s">
        <v>15522</v>
      </c>
      <c r="F51" s="169" t="s">
        <v>13835</v>
      </c>
      <c r="G51" s="25"/>
    </row>
    <row r="52" spans="1:7" ht="45">
      <c r="A52" s="293"/>
      <c r="B52" s="160">
        <v>6.1</v>
      </c>
      <c r="C52" s="149" t="s">
        <v>13152</v>
      </c>
      <c r="D52" s="161">
        <v>44314</v>
      </c>
      <c r="E52" s="169" t="s">
        <v>15514</v>
      </c>
      <c r="F52" s="169" t="s">
        <v>15043</v>
      </c>
      <c r="G52" s="25"/>
    </row>
    <row r="53" spans="1:7" ht="45">
      <c r="A53" s="293"/>
      <c r="B53" s="160">
        <v>6.2</v>
      </c>
      <c r="C53" s="149" t="s">
        <v>13152</v>
      </c>
      <c r="D53" s="161">
        <v>44678</v>
      </c>
      <c r="E53" s="169" t="s">
        <v>15514</v>
      </c>
      <c r="F53" s="169" t="s">
        <v>15513</v>
      </c>
      <c r="G53" s="25"/>
    </row>
    <row r="54" spans="1:7" ht="45">
      <c r="A54" s="293"/>
      <c r="B54" s="160">
        <v>6.21</v>
      </c>
      <c r="C54" s="149" t="s">
        <v>13152</v>
      </c>
      <c r="D54" s="161">
        <v>44687</v>
      </c>
      <c r="E54" s="169" t="s">
        <v>15523</v>
      </c>
      <c r="F54" s="169" t="s">
        <v>15513</v>
      </c>
      <c r="G54" s="25"/>
    </row>
    <row r="55" spans="1:7" ht="45">
      <c r="A55" s="293"/>
      <c r="B55" s="160">
        <v>6.22</v>
      </c>
      <c r="C55" s="149" t="s">
        <v>13152</v>
      </c>
      <c r="D55" s="275">
        <v>44692</v>
      </c>
      <c r="E55" s="169" t="s">
        <v>15522</v>
      </c>
      <c r="F55" s="169" t="s">
        <v>15513</v>
      </c>
      <c r="G55" s="25"/>
    </row>
    <row r="56" spans="1:7" ht="56.25">
      <c r="A56" s="293"/>
      <c r="B56" s="202">
        <v>6.3</v>
      </c>
      <c r="C56" s="149" t="s">
        <v>13152</v>
      </c>
      <c r="D56" s="275">
        <v>45051</v>
      </c>
      <c r="E56" s="169" t="s">
        <v>15790</v>
      </c>
      <c r="F56" s="169" t="s">
        <v>15571</v>
      </c>
      <c r="G56" s="25"/>
    </row>
    <row r="57" spans="1:7" ht="45">
      <c r="A57" s="293"/>
      <c r="B57" s="160">
        <v>6.31</v>
      </c>
      <c r="C57" s="149" t="s">
        <v>13152</v>
      </c>
      <c r="D57" s="275">
        <v>45072</v>
      </c>
      <c r="E57" s="169" t="s">
        <v>15792</v>
      </c>
      <c r="F57" s="169" t="s">
        <v>15571</v>
      </c>
      <c r="G57" s="25"/>
    </row>
    <row r="58" spans="1:7" ht="13.5" thickBot="1">
      <c r="A58" s="294"/>
      <c r="B58" s="295" t="str">
        <f ca="1">OFFSET(L!$C$1,MATCH("General"&amp;"Cpy",L!$A:$A,0)-1,SL,,)</f>
        <v>© 2023 Responsible Minerals Initiative. All rights reserved.</v>
      </c>
      <c r="C58" s="295"/>
      <c r="D58" s="295"/>
      <c r="E58" s="295"/>
      <c r="F58" s="295"/>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15CCA036-2127-40A7-B81C-BB63A7B3A3A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7C24ACFC-CF52-4CC2-94D6-8CC6E589D9E9}"/>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B1" zoomScalePageLayoutView="70" workbookViewId="0">
      <selection activeCell="D2" sqref="D2:J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57"/>
      <c r="G3" s="357"/>
      <c r="H3" s="357"/>
      <c r="I3" s="152"/>
      <c r="J3" s="138" t="s">
        <v>15794</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443</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494</v>
      </c>
      <c r="E9" s="360"/>
      <c r="F9" s="360"/>
      <c r="G9" s="361"/>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15797</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15798</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15799</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15800</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15801</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15804</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15801</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45078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488</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488</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488</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489</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15805</v>
      </c>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15805</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15805</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15805</v>
      </c>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34" t="s">
        <v>15806</v>
      </c>
      <c r="H75" s="335"/>
      <c r="I75" s="335"/>
      <c r="J75" s="336"/>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38" t="s">
        <v>15807</v>
      </c>
      <c r="H77" s="339"/>
      <c r="I77" s="339"/>
      <c r="J77" s="340"/>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34"/>
      <c r="H79" s="335"/>
      <c r="I79" s="335"/>
      <c r="J79" s="336"/>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34"/>
      <c r="H81" s="335"/>
      <c r="I81" s="335"/>
      <c r="J81" s="336"/>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34"/>
      <c r="H83" s="335"/>
      <c r="I83" s="335"/>
      <c r="J83" s="336"/>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488</v>
      </c>
      <c r="E85" s="380"/>
      <c r="F85" s="57"/>
      <c r="G85" s="334"/>
      <c r="H85" s="335"/>
      <c r="I85" s="335"/>
      <c r="J85" s="336"/>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34"/>
      <c r="H87" s="335"/>
      <c r="I87" s="335"/>
      <c r="J87" s="336"/>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34"/>
      <c r="H89" s="335"/>
      <c r="I89" s="335"/>
      <c r="J89" s="336"/>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2023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7E745AC1-D166-41B4-9298-2482AF0B5ADE}"/>
    <hyperlink ref="D20" r:id="rId4" xr:uid="{0576403A-3D9B-43D9-BD51-1177DABBD737}"/>
    <hyperlink ref="G77" r:id="rId5" xr:uid="{E182B51F-0A40-47E8-B097-43BC057CA4DF}"/>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1125</v>
      </c>
      <c r="C5" s="186" t="s">
        <v>2285</v>
      </c>
      <c r="D5" s="230"/>
      <c r="E5" s="182" t="s">
        <v>1104</v>
      </c>
      <c r="F5" s="182" t="s">
        <v>655</v>
      </c>
      <c r="G5" s="182" t="s">
        <v>13240</v>
      </c>
      <c r="H5" s="183" t="s">
        <v>15808</v>
      </c>
      <c r="I5" s="184" t="s">
        <v>1550</v>
      </c>
      <c r="J5" s="184" t="s">
        <v>1551</v>
      </c>
      <c r="K5" s="224" t="s">
        <v>15809</v>
      </c>
      <c r="L5" s="224" t="s">
        <v>15810</v>
      </c>
      <c r="M5" s="224"/>
      <c r="N5" s="224" t="s">
        <v>15811</v>
      </c>
      <c r="O5" s="224" t="s">
        <v>15811</v>
      </c>
      <c r="P5" s="185" t="s">
        <v>488</v>
      </c>
      <c r="Q5" s="225"/>
      <c r="R5" s="182" t="str">
        <f ca="1">IF(ISERROR($V5),"",OFFSET('Smelter Look-up'!$C$4,$V5-4,0)&amp;"")</f>
        <v>Asahi Pretec Corp.</v>
      </c>
      <c r="S5" s="181" t="str">
        <f t="shared" ref="S5" ca="1" si="0">IF(B5="","",IF(ISERROR(MATCH($E5,CL,0)),"Unknown",INDIRECT("'C'!$A$"&amp;MATCH($E5,CL,0)+1)))</f>
        <v>JP</v>
      </c>
      <c r="T5" s="181" t="str">
        <f ca="1">IF(B5="","",IF(ISERROR(MATCH($J5,SorP!$B$1:$B$6279,0)),"",INDIRECT("'SorP'!$A$"&amp;MATCH($S5&amp;$J5,SorP!C:C,0))))</f>
        <v>JP-28</v>
      </c>
      <c r="U5" s="201"/>
      <c r="V5" s="226">
        <f>IF(C5="",NA(),IF(OR(C5="Smelter not listed",C5="Smelter not yet identified"),MATCH($B5&amp;$D5,'Smelter Look-up'!$J:$J,0),MATCH($B5&amp;$C5,'Smelter Look-up'!$J:$J,0)))</f>
        <v>29</v>
      </c>
      <c r="X5" s="227">
        <f t="shared" ref="X5" si="1">IF(AND(C5="Smelter not listed",OR(LEN(D5)=0,LEN(E5)=0)),1,0)</f>
        <v>0</v>
      </c>
      <c r="AB5" s="228" t="str">
        <f t="shared" ref="AB5" si="2">B5&amp;C5</f>
        <v>GoldAsahi Pretec Corp.</v>
      </c>
    </row>
    <row r="6" spans="1:34" s="227" customFormat="1" ht="19.899999999999999" customHeight="1">
      <c r="A6" s="262"/>
      <c r="B6" s="182" t="s">
        <v>1125</v>
      </c>
      <c r="C6" s="186" t="s">
        <v>15812</v>
      </c>
      <c r="D6" s="230"/>
      <c r="E6" s="182" t="s">
        <v>1104</v>
      </c>
      <c r="F6" s="182" t="s">
        <v>397</v>
      </c>
      <c r="G6" s="182" t="s">
        <v>13240</v>
      </c>
      <c r="H6" s="183">
        <v>0</v>
      </c>
      <c r="I6" s="184" t="s">
        <v>1579</v>
      </c>
      <c r="J6" s="184" t="s">
        <v>1580</v>
      </c>
      <c r="K6" s="224"/>
      <c r="L6" s="224"/>
      <c r="M6" s="224"/>
      <c r="N6" s="224"/>
      <c r="O6" s="224"/>
      <c r="P6" s="185"/>
      <c r="Q6" s="225"/>
      <c r="R6" s="182" t="str">
        <f ca="1">IF(ISERROR($V6),"",OFFSET('Smelter Look-up'!$C$4,$V6-4,0)&amp;"")</f>
        <v/>
      </c>
      <c r="S6" s="181" t="str">
        <f t="shared" ref="S6:S37" ca="1" si="3">IF(B6="","",IF(ISERROR(MATCH($E6,CL,0)),"Unknown",INDIRECT("'C'!$A$"&amp;MATCH($E6,CL,0)+1)))</f>
        <v>JP</v>
      </c>
      <c r="T6" s="181" t="str">
        <f ca="1">IF(B6="","",IF(ISERROR(MATCH($J6,SorP!$B$1:$B$6279,0)),"",INDIRECT("'SorP'!$A$"&amp;MATCH($S6&amp;$J6,SorP!C:C,0))))</f>
        <v>JP-11</v>
      </c>
      <c r="U6" s="201"/>
      <c r="V6" s="226" t="e">
        <f>IF(C6="",NA(),IF(OR(C6="Smelter not listed",C6="Smelter not yet identified"),MATCH($B6&amp;$D6,'Smelter Look-up'!$J:$J,0),MATCH($B6&amp;$C6,'Smelter Look-up'!$J:$J,0)))</f>
        <v>#N/A</v>
      </c>
      <c r="X6" s="227">
        <f t="shared" ref="X6:X37" si="4">IF(AND(C6="Smelter not listed",OR(LEN(D6)=0,LEN(E6)=0)),1,0)</f>
        <v>0</v>
      </c>
      <c r="AB6" s="228" t="str">
        <f t="shared" ref="AB6:AB37" si="5">B6&amp;C6</f>
        <v>GoldEco-System Recycling Co., Ltd.</v>
      </c>
    </row>
    <row r="7" spans="1:34" s="227" customFormat="1" ht="19.899999999999999" customHeight="1">
      <c r="A7" s="262"/>
      <c r="B7" s="182" t="s">
        <v>1125</v>
      </c>
      <c r="C7" s="186" t="s">
        <v>1223</v>
      </c>
      <c r="D7" s="230"/>
      <c r="E7" s="182" t="s">
        <v>1104</v>
      </c>
      <c r="F7" s="182" t="s">
        <v>682</v>
      </c>
      <c r="G7" s="182" t="s">
        <v>13240</v>
      </c>
      <c r="H7" s="183" t="s">
        <v>15813</v>
      </c>
      <c r="I7" s="184" t="s">
        <v>1594</v>
      </c>
      <c r="J7" s="184" t="s">
        <v>1580</v>
      </c>
      <c r="K7" s="224" t="s">
        <v>15814</v>
      </c>
      <c r="L7" s="224" t="s">
        <v>15815</v>
      </c>
      <c r="M7" s="224"/>
      <c r="N7" s="224" t="s">
        <v>15811</v>
      </c>
      <c r="O7" s="224" t="s">
        <v>15811</v>
      </c>
      <c r="P7" s="185" t="s">
        <v>488</v>
      </c>
      <c r="Q7" s="225"/>
      <c r="R7" s="182" t="str">
        <f ca="1">IF(ISERROR($V7),"",OFFSET('Smelter Look-up'!$C$4,$V7-4,0)&amp;"")</f>
        <v>Ishifuku Metal Industry Co., Ltd.</v>
      </c>
      <c r="S7" s="181" t="str">
        <f t="shared" ca="1" si="3"/>
        <v>JP</v>
      </c>
      <c r="T7" s="181" t="str">
        <f ca="1">IF(B7="","",IF(ISERROR(MATCH($J7,SorP!$B$1:$B$6279,0)),"",INDIRECT("'SorP'!$A$"&amp;MATCH($S7&amp;$J7,SorP!C:C,0))))</f>
        <v>JP-11</v>
      </c>
      <c r="U7" s="201"/>
      <c r="V7" s="226">
        <f>IF(C7="",NA(),IF(OR(C7="Smelter not listed",C7="Smelter not yet identified"),MATCH($B7&amp;$D7,'Smelter Look-up'!$J:$J,0),MATCH($B7&amp;$C7,'Smelter Look-up'!$J:$J,0)))</f>
        <v>118</v>
      </c>
      <c r="X7" s="227">
        <f t="shared" si="4"/>
        <v>0</v>
      </c>
      <c r="AB7" s="228" t="str">
        <f t="shared" si="5"/>
        <v>GoldIshifuku Metal Industry Co., Ltd.</v>
      </c>
    </row>
    <row r="8" spans="1:34" s="227" customFormat="1" ht="19.899999999999999" customHeight="1">
      <c r="A8" s="262"/>
      <c r="B8" s="182" t="s">
        <v>1125</v>
      </c>
      <c r="C8" s="186" t="s">
        <v>55</v>
      </c>
      <c r="D8" s="230"/>
      <c r="E8" s="182" t="s">
        <v>1104</v>
      </c>
      <c r="F8" s="182" t="s">
        <v>690</v>
      </c>
      <c r="G8" s="182" t="s">
        <v>13240</v>
      </c>
      <c r="H8" s="183">
        <v>0</v>
      </c>
      <c r="I8" s="184" t="s">
        <v>2362</v>
      </c>
      <c r="J8" s="184" t="s">
        <v>6664</v>
      </c>
      <c r="K8" s="224"/>
      <c r="L8" s="224"/>
      <c r="M8" s="224"/>
      <c r="N8" s="224"/>
      <c r="O8" s="224"/>
      <c r="P8" s="185"/>
      <c r="Q8" s="225"/>
      <c r="R8" s="182" t="str">
        <f ca="1">IF(ISERROR($V8),"",OFFSET('Smelter Look-up'!$C$4,$V8-4,0)&amp;"")</f>
        <v>JX Nippon Mining &amp; Metals Co., Ltd.</v>
      </c>
      <c r="S8" s="181" t="str">
        <f t="shared" ca="1" si="3"/>
        <v>JP</v>
      </c>
      <c r="T8" s="181" t="str">
        <f ca="1">IF(B8="","",IF(ISERROR(MATCH($J8,SorP!$B$1:$B$6279,0)),"",INDIRECT("'SorP'!$A$"&amp;MATCH($S8&amp;$J8,SorP!C:C,0))))</f>
        <v>JP-44</v>
      </c>
      <c r="U8" s="201"/>
      <c r="V8" s="226">
        <f>IF(C8="",NA(),IF(OR(C8="Smelter not listed",C8="Smelter not yet identified"),MATCH($B8&amp;$D8,'Smelter Look-up'!$J:$J,0),MATCH($B8&amp;$C8,'Smelter Look-up'!$J:$J,0)))</f>
        <v>132</v>
      </c>
      <c r="X8" s="227">
        <f t="shared" si="4"/>
        <v>0</v>
      </c>
      <c r="AB8" s="228" t="str">
        <f t="shared" si="5"/>
        <v>GoldJX Nippon Mining &amp; Metals Co., Ltd.</v>
      </c>
    </row>
    <row r="9" spans="1:34" s="227" customFormat="1" ht="19.899999999999999" customHeight="1">
      <c r="A9" s="262"/>
      <c r="B9" s="182" t="s">
        <v>1125</v>
      </c>
      <c r="C9" s="186" t="s">
        <v>57</v>
      </c>
      <c r="D9" s="230"/>
      <c r="E9" s="182" t="s">
        <v>1104</v>
      </c>
      <c r="F9" s="182" t="s">
        <v>702</v>
      </c>
      <c r="G9" s="182" t="s">
        <v>13240</v>
      </c>
      <c r="H9" s="183" t="s">
        <v>15816</v>
      </c>
      <c r="I9" s="184" t="s">
        <v>1618</v>
      </c>
      <c r="J9" s="184" t="s">
        <v>1580</v>
      </c>
      <c r="K9" s="224" t="s">
        <v>15817</v>
      </c>
      <c r="L9" s="224" t="s">
        <v>15818</v>
      </c>
      <c r="M9" s="224"/>
      <c r="N9" s="224" t="s">
        <v>15811</v>
      </c>
      <c r="O9" s="224" t="s">
        <v>15811</v>
      </c>
      <c r="P9" s="185" t="s">
        <v>488</v>
      </c>
      <c r="Q9" s="225"/>
      <c r="R9" s="182" t="str">
        <f ca="1">IF(ISERROR($V9),"",OFFSET('Smelter Look-up'!$C$4,$V9-4,0)&amp;"")</f>
        <v>Matsuda Sangyo Co., Ltd.</v>
      </c>
      <c r="S9" s="181" t="str">
        <f t="shared" ca="1" si="3"/>
        <v>JP</v>
      </c>
      <c r="T9" s="181" t="str">
        <f ca="1">IF(B9="","",IF(ISERROR(MATCH($J9,SorP!$B$1:$B$6279,0)),"",INDIRECT("'SorP'!$A$"&amp;MATCH($S9&amp;$J9,SorP!C:C,0))))</f>
        <v>JP-11</v>
      </c>
      <c r="U9" s="201"/>
      <c r="V9" s="226">
        <f>IF(C9="",NA(),IF(OR(C9="Smelter not listed",C9="Smelter not yet identified"),MATCH($B9&amp;$D9,'Smelter Look-up'!$J:$J,0),MATCH($B9&amp;$C9,'Smelter Look-up'!$J:$J,0)))</f>
        <v>164</v>
      </c>
      <c r="X9" s="227">
        <f t="shared" si="4"/>
        <v>0</v>
      </c>
      <c r="AB9" s="228" t="str">
        <f t="shared" si="5"/>
        <v>GoldMatsuda Sangyo Co., Ltd.</v>
      </c>
    </row>
    <row r="10" spans="1:34" s="227" customFormat="1" ht="19.899999999999999" customHeight="1">
      <c r="A10" s="262"/>
      <c r="B10" s="182" t="s">
        <v>1125</v>
      </c>
      <c r="C10" s="186" t="s">
        <v>1225</v>
      </c>
      <c r="D10" s="230"/>
      <c r="E10" s="182" t="s">
        <v>1104</v>
      </c>
      <c r="F10" s="182" t="s">
        <v>709</v>
      </c>
      <c r="G10" s="182" t="s">
        <v>13240</v>
      </c>
      <c r="H10" s="183" t="s">
        <v>15819</v>
      </c>
      <c r="I10" s="184" t="s">
        <v>1628</v>
      </c>
      <c r="J10" s="184" t="s">
        <v>1627</v>
      </c>
      <c r="K10" s="224" t="s">
        <v>15820</v>
      </c>
      <c r="L10" s="224"/>
      <c r="M10" s="224"/>
      <c r="N10" s="224" t="s">
        <v>15811</v>
      </c>
      <c r="O10" s="224" t="s">
        <v>15811</v>
      </c>
      <c r="P10" s="185" t="s">
        <v>488</v>
      </c>
      <c r="Q10" s="225"/>
      <c r="R10" s="182" t="str">
        <f ca="1">IF(ISERROR($V10),"",OFFSET('Smelter Look-up'!$C$4,$V10-4,0)&amp;"")</f>
        <v>Mitsui Mining and Smelting Co., Ltd.</v>
      </c>
      <c r="S10" s="181" t="str">
        <f t="shared" ca="1" si="3"/>
        <v>JP</v>
      </c>
      <c r="T10" s="181" t="str">
        <f ca="1">IF(B10="","",IF(ISERROR(MATCH($J10,SorP!$B$1:$B$6279,0)),"",INDIRECT("'SorP'!$A$"&amp;MATCH($S10&amp;$J10,SorP!C:C,0))))</f>
        <v>JP-34</v>
      </c>
      <c r="U10" s="201"/>
      <c r="V10" s="226">
        <f>IF(C10="",NA(),IF(OR(C10="Smelter not listed",C10="Smelter not yet identified"),MATCH($B10&amp;$D10,'Smelter Look-up'!$J:$J,0),MATCH($B10&amp;$C10,'Smelter Look-up'!$J:$J,0)))</f>
        <v>183</v>
      </c>
      <c r="X10" s="227">
        <f t="shared" si="4"/>
        <v>0</v>
      </c>
      <c r="AB10" s="228" t="str">
        <f t="shared" si="5"/>
        <v>GoldMitsui Mining and Smelting Co., Ltd.</v>
      </c>
    </row>
    <row r="11" spans="1:34" s="227" customFormat="1" ht="19.899999999999999" customHeight="1">
      <c r="A11" s="262"/>
      <c r="B11" s="182" t="s">
        <v>1125</v>
      </c>
      <c r="C11" s="186" t="s">
        <v>2154</v>
      </c>
      <c r="D11" s="230"/>
      <c r="E11" s="182" t="s">
        <v>1104</v>
      </c>
      <c r="F11" s="182" t="s">
        <v>713</v>
      </c>
      <c r="G11" s="182" t="s">
        <v>13240</v>
      </c>
      <c r="H11" s="183">
        <v>0</v>
      </c>
      <c r="I11" s="184" t="s">
        <v>1633</v>
      </c>
      <c r="J11" s="184" t="s">
        <v>1634</v>
      </c>
      <c r="K11" s="224"/>
      <c r="L11" s="224"/>
      <c r="M11" s="224"/>
      <c r="N11" s="224" t="s">
        <v>15811</v>
      </c>
      <c r="O11" s="224" t="s">
        <v>15811</v>
      </c>
      <c r="P11" s="185" t="s">
        <v>488</v>
      </c>
      <c r="Q11" s="225"/>
      <c r="R11" s="182" t="str">
        <f ca="1">IF(ISERROR($V11),"",OFFSET('Smelter Look-up'!$C$4,$V11-4,0)&amp;"")</f>
        <v>Nihon Material Co., Ltd.</v>
      </c>
      <c r="S11" s="181" t="str">
        <f t="shared" ca="1" si="3"/>
        <v>JP</v>
      </c>
      <c r="T11" s="181" t="str">
        <f ca="1">IF(B11="","",IF(ISERROR(MATCH($J11,SorP!$B$1:$B$6279,0)),"",INDIRECT("'SorP'!$A$"&amp;MATCH($S11&amp;$J11,SorP!C:C,0))))</f>
        <v>JP-12</v>
      </c>
      <c r="U11" s="201"/>
      <c r="V11" s="226">
        <f>IF(C11="",NA(),IF(OR(C11="Smelter not listed",C11="Smelter not yet identified"),MATCH($B11&amp;$D11,'Smelter Look-up'!$J:$J,0),MATCH($B11&amp;$C11,'Smelter Look-up'!$J:$J,0)))</f>
        <v>193</v>
      </c>
      <c r="X11" s="227">
        <f t="shared" si="4"/>
        <v>0</v>
      </c>
      <c r="AB11" s="228" t="str">
        <f t="shared" si="5"/>
        <v>GoldNihon Material Co., Ltd.</v>
      </c>
    </row>
    <row r="12" spans="1:34" s="227" customFormat="1" ht="19.899999999999999" customHeight="1">
      <c r="A12" s="262"/>
      <c r="B12" s="182" t="s">
        <v>1125</v>
      </c>
      <c r="C12" s="186" t="s">
        <v>911</v>
      </c>
      <c r="D12" s="230"/>
      <c r="E12" s="182" t="s">
        <v>2431</v>
      </c>
      <c r="F12" s="182" t="s">
        <v>728</v>
      </c>
      <c r="G12" s="182" t="s">
        <v>13240</v>
      </c>
      <c r="H12" s="183">
        <v>0</v>
      </c>
      <c r="I12" s="184" t="s">
        <v>1661</v>
      </c>
      <c r="J12" s="184" t="s">
        <v>11511</v>
      </c>
      <c r="K12" s="224"/>
      <c r="L12" s="224"/>
      <c r="M12" s="224"/>
      <c r="N12" s="224"/>
      <c r="O12" s="224"/>
      <c r="P12" s="185"/>
      <c r="Q12" s="225"/>
      <c r="R12" s="182" t="str">
        <f ca="1">IF(ISERROR($V12),"",OFFSET('Smelter Look-up'!$C$4,$V12-4,0)&amp;"")</f>
        <v>Solar Applied Materials Technology Corp.</v>
      </c>
      <c r="S12" s="181" t="str">
        <f t="shared" ca="1" si="3"/>
        <v>TW</v>
      </c>
      <c r="T12" s="181" t="str">
        <f ca="1">IF(B12="","",IF(ISERROR(MATCH($J12,SorP!$B$1:$B$6279,0)),"",INDIRECT("'SorP'!$A$"&amp;MATCH($S12&amp;$J12,SorP!C:C,0))))</f>
        <v>TW-TNN</v>
      </c>
      <c r="U12" s="201"/>
      <c r="V12" s="226">
        <f>IF(C12="",NA(),IF(OR(C12="Smelter not listed",C12="Smelter not yet identified"),MATCH($B12&amp;$D12,'Smelter Look-up'!$J:$J,0),MATCH($B12&amp;$C12,'Smelter Look-up'!$J:$J,0)))</f>
        <v>258</v>
      </c>
      <c r="X12" s="227">
        <f t="shared" si="4"/>
        <v>0</v>
      </c>
      <c r="AB12" s="228" t="str">
        <f t="shared" si="5"/>
        <v>GoldSolar Applied Materials Technology Corp.</v>
      </c>
    </row>
    <row r="13" spans="1:34" s="227" customFormat="1" ht="19.899999999999999" customHeight="1">
      <c r="A13" s="262"/>
      <c r="B13" s="182" t="s">
        <v>1125</v>
      </c>
      <c r="C13" s="186" t="s">
        <v>58</v>
      </c>
      <c r="D13" s="230"/>
      <c r="E13" s="182" t="s">
        <v>1104</v>
      </c>
      <c r="F13" s="182" t="s">
        <v>729</v>
      </c>
      <c r="G13" s="182" t="s">
        <v>13240</v>
      </c>
      <c r="H13" s="183" t="s">
        <v>15821</v>
      </c>
      <c r="I13" s="184" t="s">
        <v>1662</v>
      </c>
      <c r="J13" s="184" t="s">
        <v>2212</v>
      </c>
      <c r="K13" s="224" t="s">
        <v>15822</v>
      </c>
      <c r="L13" s="224"/>
      <c r="M13" s="224"/>
      <c r="N13" s="224" t="s">
        <v>15811</v>
      </c>
      <c r="O13" s="224" t="s">
        <v>15811</v>
      </c>
      <c r="P13" s="185" t="s">
        <v>488</v>
      </c>
      <c r="Q13" s="225"/>
      <c r="R13" s="182" t="str">
        <f ca="1">IF(ISERROR($V13),"",OFFSET('Smelter Look-up'!$C$4,$V13-4,0)&amp;"")</f>
        <v>Sumitomo Metal Mining Co., Ltd.</v>
      </c>
      <c r="S13" s="181" t="str">
        <f t="shared" ca="1" si="3"/>
        <v>JP</v>
      </c>
      <c r="T13" s="181" t="str">
        <f ca="1">IF(B13="","",IF(ISERROR(MATCH($J13,SorP!$B$1:$B$6279,0)),"",INDIRECT("'SorP'!$A$"&amp;MATCH($S13&amp;$J13,SorP!C:C,0))))</f>
        <v>JP-38</v>
      </c>
      <c r="U13" s="201"/>
      <c r="V13" s="226">
        <f>IF(C13="",NA(),IF(OR(C13="Smelter not listed",C13="Smelter not yet identified"),MATCH($B13&amp;$D13,'Smelter Look-up'!$J:$J,0),MATCH($B13&amp;$C13,'Smelter Look-up'!$J:$J,0)))</f>
        <v>265</v>
      </c>
      <c r="X13" s="227">
        <f t="shared" si="4"/>
        <v>0</v>
      </c>
      <c r="AB13" s="228" t="str">
        <f t="shared" si="5"/>
        <v>GoldSumitomo Metal Mining Co., Ltd.</v>
      </c>
    </row>
    <row r="14" spans="1:34" s="227" customFormat="1" ht="19.899999999999999" customHeight="1">
      <c r="A14" s="262"/>
      <c r="B14" s="182" t="s">
        <v>1125</v>
      </c>
      <c r="C14" s="186" t="s">
        <v>2326</v>
      </c>
      <c r="D14" s="230"/>
      <c r="E14" s="182" t="s">
        <v>1104</v>
      </c>
      <c r="F14" s="182" t="s">
        <v>730</v>
      </c>
      <c r="G14" s="182" t="s">
        <v>13240</v>
      </c>
      <c r="H14" s="183" t="s">
        <v>15823</v>
      </c>
      <c r="I14" s="184" t="s">
        <v>1663</v>
      </c>
      <c r="J14" s="184" t="s">
        <v>1664</v>
      </c>
      <c r="K14" s="224" t="s">
        <v>15824</v>
      </c>
      <c r="L14" s="224" t="s">
        <v>15825</v>
      </c>
      <c r="M14" s="224"/>
      <c r="N14" s="224" t="s">
        <v>15811</v>
      </c>
      <c r="O14" s="224" t="s">
        <v>15811</v>
      </c>
      <c r="P14" s="185" t="s">
        <v>488</v>
      </c>
      <c r="Q14" s="225"/>
      <c r="R14" s="182" t="str">
        <f ca="1">IF(ISERROR($V14),"",OFFSET('Smelter Look-up'!$C$4,$V14-4,0)&amp;"")</f>
        <v>Tanaka Kikinzoku Kogyo K.K.</v>
      </c>
      <c r="S14" s="181" t="str">
        <f t="shared" ca="1" si="3"/>
        <v>JP</v>
      </c>
      <c r="T14" s="181" t="str">
        <f ca="1">IF(B14="","",IF(ISERROR(MATCH($J14,SorP!$B$1:$B$6279,0)),"",INDIRECT("'SorP'!$A$"&amp;MATCH($S14&amp;$J14,SorP!C:C,0))))</f>
        <v>JP-14</v>
      </c>
      <c r="U14" s="201"/>
      <c r="V14" s="226">
        <f>IF(C14="",NA(),IF(OR(C14="Smelter not listed",C14="Smelter not yet identified"),MATCH($B14&amp;$D14,'Smelter Look-up'!$J:$J,0),MATCH($B14&amp;$C14,'Smelter Look-up'!$J:$J,0)))</f>
        <v>277</v>
      </c>
      <c r="X14" s="227">
        <f t="shared" si="4"/>
        <v>0</v>
      </c>
      <c r="AB14" s="228" t="str">
        <f t="shared" si="5"/>
        <v>GoldTanaka Kikinzoku Kogyo K.K</v>
      </c>
    </row>
    <row r="15" spans="1:34" s="227" customFormat="1" ht="19.899999999999999" customHeight="1">
      <c r="A15" s="262"/>
      <c r="B15" s="182" t="s">
        <v>1125</v>
      </c>
      <c r="C15" s="186" t="s">
        <v>2163</v>
      </c>
      <c r="D15" s="230"/>
      <c r="E15" s="182" t="s">
        <v>1104</v>
      </c>
      <c r="F15" s="182" t="s">
        <v>733</v>
      </c>
      <c r="G15" s="182" t="s">
        <v>13240</v>
      </c>
      <c r="H15" s="183" t="s">
        <v>15826</v>
      </c>
      <c r="I15" s="184" t="s">
        <v>1669</v>
      </c>
      <c r="J15" s="184" t="s">
        <v>1580</v>
      </c>
      <c r="K15" s="224" t="s">
        <v>15827</v>
      </c>
      <c r="L15" s="224"/>
      <c r="M15" s="224"/>
      <c r="N15" s="224"/>
      <c r="O15" s="224"/>
      <c r="P15" s="185"/>
      <c r="Q15" s="225"/>
      <c r="R15" s="182" t="str">
        <f ca="1">IF(ISERROR($V15),"",OFFSET('Smelter Look-up'!$C$4,$V15-4,0)&amp;"")</f>
        <v>Tokuriki Honten Co., Ltd.</v>
      </c>
      <c r="S15" s="181" t="str">
        <f t="shared" ca="1" si="3"/>
        <v>JP</v>
      </c>
      <c r="T15" s="181" t="str">
        <f ca="1">IF(B15="","",IF(ISERROR(MATCH($J15,SorP!$B$1:$B$6279,0)),"",INDIRECT("'SorP'!$A$"&amp;MATCH($S15&amp;$J15,SorP!C:C,0))))</f>
        <v>JP-11</v>
      </c>
      <c r="U15" s="201"/>
      <c r="V15" s="226">
        <f>IF(C15="",NA(),IF(OR(C15="Smelter not listed",C15="Smelter not yet identified"),MATCH($B15&amp;$D15,'Smelter Look-up'!$J:$J,0),MATCH($B15&amp;$C15,'Smelter Look-up'!$J:$J,0)))</f>
        <v>283</v>
      </c>
      <c r="X15" s="227">
        <f t="shared" si="4"/>
        <v>0</v>
      </c>
      <c r="AB15" s="228" t="str">
        <f t="shared" si="5"/>
        <v>GoldTokuriki Honten Co., Ltd.</v>
      </c>
    </row>
    <row r="16" spans="1:34" s="227" customFormat="1" ht="19.899999999999999" customHeight="1">
      <c r="A16" s="262"/>
      <c r="B16" s="182" t="s">
        <v>1125</v>
      </c>
      <c r="C16" s="186" t="s">
        <v>2500</v>
      </c>
      <c r="D16" s="230"/>
      <c r="E16" s="182" t="s">
        <v>1096</v>
      </c>
      <c r="F16" s="182" t="s">
        <v>677</v>
      </c>
      <c r="G16" s="182" t="s">
        <v>13240</v>
      </c>
      <c r="H16" s="183" t="s">
        <v>15828</v>
      </c>
      <c r="I16" s="184" t="s">
        <v>1588</v>
      </c>
      <c r="J16" s="184" t="s">
        <v>15829</v>
      </c>
      <c r="K16" s="224" t="s">
        <v>15830</v>
      </c>
      <c r="L16" s="224" t="s">
        <v>15831</v>
      </c>
      <c r="M16" s="224"/>
      <c r="N16" s="224" t="s">
        <v>15811</v>
      </c>
      <c r="O16" s="224" t="s">
        <v>15811</v>
      </c>
      <c r="P16" s="185" t="s">
        <v>489</v>
      </c>
      <c r="Q16" s="225"/>
      <c r="R16" s="182" t="str">
        <f ca="1">IF(ISERROR($V16),"",OFFSET('Smelter Look-up'!$C$4,$V16-4,0)&amp;"")</f>
        <v>Heraeus Metals Hong Kong Ltd.</v>
      </c>
      <c r="S16" s="181" t="str">
        <f t="shared" ca="1" si="3"/>
        <v>CN</v>
      </c>
      <c r="T16" s="181" t="str">
        <f ca="1">IF(B16="","",IF(ISERROR(MATCH($J16,SorP!$B$1:$B$6279,0)),"",INDIRECT("'SorP'!$A$"&amp;MATCH($S16&amp;$J16,SorP!C:C,0))))</f>
        <v/>
      </c>
      <c r="U16" s="201"/>
      <c r="V16" s="226">
        <f>IF(C16="",NA(),IF(OR(C16="Smelter not listed",C16="Smelter not yet identified"),MATCH($B16&amp;$D16,'Smelter Look-up'!$J:$J,0),MATCH($B16&amp;$C16,'Smelter Look-up'!$J:$J,0)))</f>
        <v>107</v>
      </c>
      <c r="X16" s="227">
        <f t="shared" si="4"/>
        <v>0</v>
      </c>
      <c r="AB16" s="228" t="str">
        <f t="shared" si="5"/>
        <v>GoldHeraeus Metals Hong Kong Ltd.</v>
      </c>
    </row>
    <row r="17" spans="1:28" s="227" customFormat="1" ht="19.899999999999999" customHeight="1">
      <c r="A17" s="262"/>
      <c r="B17" s="182" t="s">
        <v>1125</v>
      </c>
      <c r="C17" s="186" t="s">
        <v>902</v>
      </c>
      <c r="D17" s="230"/>
      <c r="E17" s="182" t="s">
        <v>1104</v>
      </c>
      <c r="F17" s="182" t="s">
        <v>671</v>
      </c>
      <c r="G17" s="182" t="s">
        <v>13240</v>
      </c>
      <c r="H17" s="183">
        <v>0</v>
      </c>
      <c r="I17" s="184" t="s">
        <v>1574</v>
      </c>
      <c r="J17" s="184" t="s">
        <v>1575</v>
      </c>
      <c r="K17" s="224"/>
      <c r="L17" s="224"/>
      <c r="M17" s="224"/>
      <c r="N17" s="224"/>
      <c r="O17" s="224"/>
      <c r="P17" s="185"/>
      <c r="Q17" s="225"/>
      <c r="R17" s="182" t="str">
        <f ca="1">IF(ISERROR($V17),"",OFFSET('Smelter Look-up'!$C$4,$V17-4,0)&amp;"")</f>
        <v>Dowa</v>
      </c>
      <c r="S17" s="181" t="str">
        <f t="shared" ca="1" si="3"/>
        <v>JP</v>
      </c>
      <c r="T17" s="181" t="str">
        <f ca="1">IF(B17="","",IF(ISERROR(MATCH($J17,SorP!$B$1:$B$6279,0)),"",INDIRECT("'SorP'!$A$"&amp;MATCH($S17&amp;$J17,SorP!C:C,0))))</f>
        <v>JP-05</v>
      </c>
      <c r="U17" s="201"/>
      <c r="V17" s="226">
        <f>IF(C17="",NA(),IF(OR(C17="Smelter not listed",C17="Smelter not yet identified"),MATCH($B17&amp;$D17,'Smelter Look-up'!$J:$J,0),MATCH($B17&amp;$C17,'Smelter Look-up'!$J:$J,0)))</f>
        <v>67</v>
      </c>
      <c r="X17" s="227">
        <f t="shared" si="4"/>
        <v>0</v>
      </c>
      <c r="AB17" s="228" t="str">
        <f t="shared" si="5"/>
        <v>GoldDowa</v>
      </c>
    </row>
    <row r="18" spans="1:28" s="227" customFormat="1" ht="19.899999999999999" customHeight="1">
      <c r="A18" s="181"/>
      <c r="B18" s="182" t="s">
        <v>1125</v>
      </c>
      <c r="C18" s="186" t="s">
        <v>1578</v>
      </c>
      <c r="D18" s="230"/>
      <c r="E18" s="182" t="s">
        <v>1104</v>
      </c>
      <c r="F18" s="182" t="s">
        <v>671</v>
      </c>
      <c r="G18" s="182" t="s">
        <v>13240</v>
      </c>
      <c r="H18" s="183">
        <v>0</v>
      </c>
      <c r="I18" s="184" t="s">
        <v>1574</v>
      </c>
      <c r="J18" s="184" t="s">
        <v>1575</v>
      </c>
      <c r="K18" s="224"/>
      <c r="L18" s="224"/>
      <c r="M18" s="224"/>
      <c r="N18" s="224"/>
      <c r="O18" s="224"/>
      <c r="P18" s="185"/>
      <c r="Q18" s="225"/>
      <c r="R18" s="182" t="str">
        <f ca="1">IF(ISERROR($V18),"",OFFSET('Smelter Look-up'!$C$4,$V18-4,0)&amp;"")</f>
        <v>Dowa</v>
      </c>
      <c r="S18" s="181" t="str">
        <f t="shared" ca="1" si="3"/>
        <v>JP</v>
      </c>
      <c r="T18" s="181" t="str">
        <f ca="1">IF(B18="","",IF(ISERROR(MATCH($J18,SorP!$B$1:$B$6279,0)),"",INDIRECT("'SorP'!$A$"&amp;MATCH($S18&amp;$J18,SorP!C:C,0))))</f>
        <v>JP-05</v>
      </c>
      <c r="U18" s="201"/>
      <c r="V18" s="226">
        <f>IF(C18="",NA(),IF(OR(C18="Smelter not listed",C18="Smelter not yet identified"),MATCH($B18&amp;$D18,'Smelter Look-up'!$J:$J,0),MATCH($B18&amp;$C18,'Smelter Look-up'!$J:$J,0)))</f>
        <v>70</v>
      </c>
      <c r="X18" s="227">
        <f t="shared" si="4"/>
        <v>0</v>
      </c>
      <c r="AB18" s="228" t="str">
        <f t="shared" si="5"/>
        <v>GoldDowa Metals &amp; Mining Co. Ltd</v>
      </c>
    </row>
    <row r="19" spans="1:28" s="227" customFormat="1" ht="20.25">
      <c r="A19" s="181"/>
      <c r="B19" s="182" t="s">
        <v>1125</v>
      </c>
      <c r="C19" s="186" t="s">
        <v>2147</v>
      </c>
      <c r="D19" s="230"/>
      <c r="E19" s="182" t="s">
        <v>1104</v>
      </c>
      <c r="F19" s="182" t="s">
        <v>694</v>
      </c>
      <c r="G19" s="182" t="s">
        <v>13240</v>
      </c>
      <c r="H19" s="183">
        <v>0</v>
      </c>
      <c r="I19" s="184" t="s">
        <v>1608</v>
      </c>
      <c r="J19" s="184" t="s">
        <v>1580</v>
      </c>
      <c r="K19" s="224"/>
      <c r="L19" s="224"/>
      <c r="M19" s="224"/>
      <c r="N19" s="224"/>
      <c r="O19" s="224"/>
      <c r="P19" s="185"/>
      <c r="Q19" s="225"/>
      <c r="R19" s="182" t="str">
        <f ca="1">IF(ISERROR($V19),"",OFFSET('Smelter Look-up'!$C$4,$V19-4,0)&amp;"")</f>
        <v>Kojima Chemicals Co., Ltd.</v>
      </c>
      <c r="S19" s="181" t="str">
        <f t="shared" ca="1" si="3"/>
        <v>JP</v>
      </c>
      <c r="T19" s="181" t="str">
        <f ca="1">IF(B19="","",IF(ISERROR(MATCH($J19,SorP!$B$1:$B$6279,0)),"",INDIRECT("'SorP'!$A$"&amp;MATCH($S19&amp;$J19,SorP!C:C,0))))</f>
        <v>JP-11</v>
      </c>
      <c r="U19" s="201"/>
      <c r="V19" s="226">
        <f>IF(C19="",NA(),IF(OR(C19="Smelter not listed",C19="Smelter not yet identified"),MATCH($B19&amp;$D19,'Smelter Look-up'!$J:$J,0),MATCH($B19&amp;$C19,'Smelter Look-up'!$J:$J,0)))</f>
        <v>141</v>
      </c>
      <c r="X19" s="227">
        <f t="shared" si="4"/>
        <v>0</v>
      </c>
      <c r="AB19" s="228" t="str">
        <f t="shared" si="5"/>
        <v>GoldKojima Chemicals Co., Ltd.</v>
      </c>
    </row>
    <row r="20" spans="1:28" s="227" customFormat="1" ht="20.25">
      <c r="A20" s="181"/>
      <c r="B20" s="182" t="s">
        <v>1126</v>
      </c>
      <c r="C20" s="186" t="s">
        <v>817</v>
      </c>
      <c r="D20" s="230"/>
      <c r="E20" s="182" t="s">
        <v>1111</v>
      </c>
      <c r="F20" s="182" t="s">
        <v>771</v>
      </c>
      <c r="G20" s="182" t="s">
        <v>13240</v>
      </c>
      <c r="H20" s="183">
        <v>0</v>
      </c>
      <c r="I20" s="184" t="s">
        <v>1780</v>
      </c>
      <c r="J20" s="184" t="s">
        <v>8688</v>
      </c>
      <c r="K20" s="224"/>
      <c r="L20" s="224"/>
      <c r="M20" s="224"/>
      <c r="N20" s="224"/>
      <c r="O20" s="224"/>
      <c r="P20" s="185"/>
      <c r="Q20" s="225"/>
      <c r="R20" s="182" t="str">
        <f ca="1">IF(ISERROR($V20),"",OFFSET('Smelter Look-up'!$C$4,$V20-4,0)&amp;"")</f>
        <v>Malaysia Smelting Corporation (MSC)</v>
      </c>
      <c r="S20" s="181" t="str">
        <f t="shared" ca="1" si="3"/>
        <v>MY</v>
      </c>
      <c r="T20" s="181" t="str">
        <f ca="1">IF(B20="","",IF(ISERROR(MATCH($J20,SorP!$B$1:$B$6279,0)),"",INDIRECT("'SorP'!$A$"&amp;MATCH($S20&amp;$J20,SorP!C:C,0))))</f>
        <v>MY-07</v>
      </c>
      <c r="U20" s="201"/>
      <c r="V20" s="226">
        <f>IF(C20="",NA(),IF(OR(C20="Smelter not listed",C20="Smelter not yet identified"),MATCH($B20&amp;$D20,'Smelter Look-up'!$J:$J,0),MATCH($B20&amp;$C20,'Smelter Look-up'!$J:$J,0)))</f>
        <v>458</v>
      </c>
      <c r="X20" s="227">
        <f t="shared" si="4"/>
        <v>0</v>
      </c>
      <c r="AB20" s="228" t="str">
        <f t="shared" si="5"/>
        <v>TinMalaysia Smelting Corporation (MSC)</v>
      </c>
    </row>
    <row r="21" spans="1:28" s="227" customFormat="1" ht="25.5">
      <c r="A21" s="181"/>
      <c r="B21" s="182" t="s">
        <v>1126</v>
      </c>
      <c r="C21" s="186" t="s">
        <v>13801</v>
      </c>
      <c r="D21" s="230"/>
      <c r="E21" s="182" t="s">
        <v>1101</v>
      </c>
      <c r="F21" s="182" t="s">
        <v>781</v>
      </c>
      <c r="G21" s="182" t="s">
        <v>13240</v>
      </c>
      <c r="H21" s="183">
        <v>0</v>
      </c>
      <c r="I21" s="184" t="s">
        <v>1794</v>
      </c>
      <c r="J21" s="184" t="s">
        <v>12852</v>
      </c>
      <c r="K21" s="224"/>
      <c r="L21" s="224"/>
      <c r="M21" s="224"/>
      <c r="N21" s="224"/>
      <c r="O21" s="224"/>
      <c r="P21" s="185"/>
      <c r="Q21" s="225"/>
      <c r="R21" s="182" t="str">
        <f ca="1">IF(ISERROR($V21),"",OFFSET('Smelter Look-up'!$C$4,$V21-4,0)&amp;"")</f>
        <v>PT Timah Tbk Mentok</v>
      </c>
      <c r="S21" s="181" t="str">
        <f t="shared" ca="1" si="3"/>
        <v>ID</v>
      </c>
      <c r="T21" s="181" t="str">
        <f ca="1">IF(B21="","",IF(ISERROR(MATCH($J21,SorP!$B$1:$B$6279,0)),"",INDIRECT("'SorP'!$A$"&amp;MATCH($S21&amp;$J21,SorP!C:C,0))))</f>
        <v>ID-BB</v>
      </c>
      <c r="U21" s="201"/>
      <c r="V21" s="226">
        <f>IF(C21="",NA(),IF(OR(C21="Smelter not listed",C21="Smelter not yet identified"),MATCH($B21&amp;$D21,'Smelter Look-up'!$J:$J,0),MATCH($B21&amp;$C21,'Smelter Look-up'!$J:$J,0)))</f>
        <v>514</v>
      </c>
      <c r="X21" s="227">
        <f t="shared" si="4"/>
        <v>0</v>
      </c>
      <c r="AB21" s="228" t="str">
        <f t="shared" si="5"/>
        <v>TinPT Timah Tbk Mentok</v>
      </c>
    </row>
    <row r="22" spans="1:28" s="227" customFormat="1" ht="38.25">
      <c r="A22" s="181"/>
      <c r="B22" s="182" t="s">
        <v>1126</v>
      </c>
      <c r="C22" s="186" t="s">
        <v>838</v>
      </c>
      <c r="D22" s="230"/>
      <c r="E22" s="182" t="s">
        <v>2430</v>
      </c>
      <c r="F22" s="182" t="s">
        <v>764</v>
      </c>
      <c r="G22" s="182" t="s">
        <v>13240</v>
      </c>
      <c r="H22" s="183">
        <v>0</v>
      </c>
      <c r="I22" s="184" t="s">
        <v>1769</v>
      </c>
      <c r="J22" s="184" t="s">
        <v>1769</v>
      </c>
      <c r="K22" s="224"/>
      <c r="L22" s="224"/>
      <c r="M22" s="224"/>
      <c r="N22" s="224"/>
      <c r="O22" s="224"/>
      <c r="P22" s="185"/>
      <c r="Q22" s="225"/>
      <c r="R22" s="182" t="str">
        <f ca="1">IF(ISERROR($V22),"",OFFSET('Smelter Look-up'!$C$4,$V22-4,0)&amp;"")</f>
        <v>EM Vinto</v>
      </c>
      <c r="S22" s="181" t="str">
        <f t="shared" ca="1" si="3"/>
        <v>BO</v>
      </c>
      <c r="T22" s="181" t="str">
        <f ca="1">IF(B22="","",IF(ISERROR(MATCH($J22,SorP!$B$1:$B$6279,0)),"",INDIRECT("'SorP'!$A$"&amp;MATCH($S22&amp;$J22,SorP!C:C,0))))</f>
        <v>BO-O</v>
      </c>
      <c r="U22" s="201"/>
      <c r="V22" s="226">
        <f>IF(C22="",NA(),IF(OR(C22="Smelter not listed",C22="Smelter not yet identified"),MATCH($B22&amp;$D22,'Smelter Look-up'!$J:$J,0),MATCH($B22&amp;$C22,'Smelter Look-up'!$J:$J,0)))</f>
        <v>421</v>
      </c>
      <c r="X22" s="227">
        <f t="shared" si="4"/>
        <v>0</v>
      </c>
      <c r="AB22" s="228" t="str">
        <f t="shared" si="5"/>
        <v>TinEM Vinto</v>
      </c>
    </row>
    <row r="23" spans="1:28" s="227" customFormat="1" ht="20.25">
      <c r="A23" s="181"/>
      <c r="B23" s="182" t="s">
        <v>1126</v>
      </c>
      <c r="C23" s="186" t="s">
        <v>2144</v>
      </c>
      <c r="D23" s="230"/>
      <c r="E23" s="182" t="s">
        <v>1096</v>
      </c>
      <c r="F23" s="182" t="s">
        <v>767</v>
      </c>
      <c r="G23" s="182" t="s">
        <v>13240</v>
      </c>
      <c r="H23" s="183">
        <v>0</v>
      </c>
      <c r="I23" s="184" t="s">
        <v>2446</v>
      </c>
      <c r="J23" s="184" t="s">
        <v>13628</v>
      </c>
      <c r="K23" s="224"/>
      <c r="L23" s="224"/>
      <c r="M23" s="224"/>
      <c r="N23" s="224"/>
      <c r="O23" s="224"/>
      <c r="P23" s="185"/>
      <c r="Q23" s="225"/>
      <c r="R23" s="182" t="str">
        <f ca="1">IF(ISERROR($V23),"",OFFSET('Smelter Look-up'!$C$4,$V23-4,0)&amp;"")</f>
        <v>Gejiu Non-Ferrous Metal Processing Co., Ltd.</v>
      </c>
      <c r="S23" s="181" t="str">
        <f t="shared" ca="1" si="3"/>
        <v>CN</v>
      </c>
      <c r="T23" s="181" t="str">
        <f ca="1">IF(B23="","",IF(ISERROR(MATCH($J23,SorP!$B$1:$B$6279,0)),"",INDIRECT("'SorP'!$A$"&amp;MATCH($S23&amp;$J23,SorP!C:C,0))))</f>
        <v>CN-YN</v>
      </c>
      <c r="U23" s="201"/>
      <c r="V23" s="226">
        <f>IF(C23="",NA(),IF(OR(C23="Smelter not listed",C23="Smelter not yet identified"),MATCH($B23&amp;$D23,'Smelter Look-up'!$J:$J,0),MATCH($B23&amp;$C23,'Smelter Look-up'!$J:$J,0)))</f>
        <v>436</v>
      </c>
      <c r="X23" s="227">
        <f t="shared" si="4"/>
        <v>0</v>
      </c>
      <c r="AB23" s="228" t="str">
        <f t="shared" si="5"/>
        <v>TinGejiu Non-Ferrous Metal Processing Co., Ltd.</v>
      </c>
    </row>
    <row r="24" spans="1:28" s="227" customFormat="1" ht="20.25">
      <c r="A24" s="181"/>
      <c r="B24" s="182" t="s">
        <v>1126</v>
      </c>
      <c r="C24" s="186" t="s">
        <v>12932</v>
      </c>
      <c r="D24" s="230"/>
      <c r="E24" s="182" t="s">
        <v>1091</v>
      </c>
      <c r="F24" s="182" t="s">
        <v>1815</v>
      </c>
      <c r="G24" s="182" t="s">
        <v>13240</v>
      </c>
      <c r="H24" s="183">
        <v>0</v>
      </c>
      <c r="I24" s="184" t="s">
        <v>1816</v>
      </c>
      <c r="J24" s="184" t="s">
        <v>3153</v>
      </c>
      <c r="K24" s="224"/>
      <c r="L24" s="224"/>
      <c r="M24" s="224"/>
      <c r="N24" s="224"/>
      <c r="O24" s="224"/>
      <c r="P24" s="185"/>
      <c r="Q24" s="225"/>
      <c r="R24" s="182" t="str">
        <f ca="1">IF(ISERROR($V24),"",OFFSET('Smelter Look-up'!$C$4,$V24-4,0)&amp;"")</f>
        <v>Aurubis Beerse</v>
      </c>
      <c r="S24" s="181" t="str">
        <f t="shared" ca="1" si="3"/>
        <v>BE</v>
      </c>
      <c r="T24" s="181" t="str">
        <f ca="1">IF(B24="","",IF(ISERROR(MATCH($J24,SorP!$B$1:$B$6279,0)),"",INDIRECT("'SorP'!$A$"&amp;MATCH($S24&amp;$J24,SorP!C:C,0))))</f>
        <v>BE-VAN</v>
      </c>
      <c r="U24" s="201"/>
      <c r="V24" s="226">
        <f>IF(C24="",NA(),IF(OR(C24="Smelter not listed",C24="Smelter not yet identified"),MATCH($B24&amp;$D24,'Smelter Look-up'!$J:$J,0),MATCH($B24&amp;$C24,'Smelter Look-up'!$J:$J,0)))</f>
        <v>463</v>
      </c>
      <c r="X24" s="227">
        <f t="shared" si="4"/>
        <v>0</v>
      </c>
      <c r="AB24" s="228" t="str">
        <f t="shared" si="5"/>
        <v>TinMetallo Belgium N.V.</v>
      </c>
    </row>
    <row r="25" spans="1:28" s="227" customFormat="1" ht="20.25">
      <c r="A25" s="181"/>
      <c r="B25" s="182" t="s">
        <v>1126</v>
      </c>
      <c r="C25" s="186" t="s">
        <v>1029</v>
      </c>
      <c r="D25" s="230"/>
      <c r="E25" s="182" t="s">
        <v>1092</v>
      </c>
      <c r="F25" s="182" t="s">
        <v>772</v>
      </c>
      <c r="G25" s="182" t="s">
        <v>13240</v>
      </c>
      <c r="H25" s="183">
        <v>0</v>
      </c>
      <c r="I25" s="184" t="s">
        <v>1783</v>
      </c>
      <c r="J25" s="184" t="s">
        <v>1674</v>
      </c>
      <c r="K25" s="224"/>
      <c r="L25" s="224"/>
      <c r="M25" s="224"/>
      <c r="N25" s="224"/>
      <c r="O25" s="224"/>
      <c r="P25" s="185"/>
      <c r="Q25" s="225"/>
      <c r="R25" s="182" t="str">
        <f ca="1">IF(ISERROR($V25),"",OFFSET('Smelter Look-up'!$C$4,$V25-4,0)&amp;"")</f>
        <v>Mineracao Taboca S.A.</v>
      </c>
      <c r="S25" s="181" t="str">
        <f t="shared" ca="1" si="3"/>
        <v>BR</v>
      </c>
      <c r="T25" s="181" t="str">
        <f ca="1">IF(B25="","",IF(ISERROR(MATCH($J25,SorP!$B$1:$B$6279,0)),"",INDIRECT("'SorP'!$A$"&amp;MATCH($S25&amp;$J25,SorP!C:C,0))))</f>
        <v>BR-SP</v>
      </c>
      <c r="U25" s="201"/>
      <c r="V25" s="226">
        <f>IF(C25="",NA(),IF(OR(C25="Smelter not listed",C25="Smelter not yet identified"),MATCH($B25&amp;$D25,'Smelter Look-up'!$J:$J,0),MATCH($B25&amp;$C25,'Smelter Look-up'!$J:$J,0)))</f>
        <v>466</v>
      </c>
      <c r="X25" s="227">
        <f t="shared" si="4"/>
        <v>0</v>
      </c>
      <c r="AB25" s="228" t="str">
        <f t="shared" si="5"/>
        <v>TinMineração Taboca S.A.</v>
      </c>
    </row>
    <row r="26" spans="1:28" s="227" customFormat="1" ht="20.25">
      <c r="A26" s="181"/>
      <c r="B26" s="182" t="s">
        <v>1126</v>
      </c>
      <c r="C26" s="186" t="s">
        <v>1030</v>
      </c>
      <c r="D26" s="230"/>
      <c r="E26" s="182" t="s">
        <v>876</v>
      </c>
      <c r="F26" s="182" t="s">
        <v>773</v>
      </c>
      <c r="G26" s="182" t="s">
        <v>13240</v>
      </c>
      <c r="H26" s="183">
        <v>0</v>
      </c>
      <c r="I26" s="184" t="s">
        <v>1785</v>
      </c>
      <c r="J26" s="184" t="s">
        <v>9115</v>
      </c>
      <c r="K26" s="224"/>
      <c r="L26" s="224"/>
      <c r="M26" s="224"/>
      <c r="N26" s="224"/>
      <c r="O26" s="224"/>
      <c r="P26" s="185"/>
      <c r="Q26" s="225"/>
      <c r="R26" s="182" t="str">
        <f ca="1">IF(ISERROR($V26),"",OFFSET('Smelter Look-up'!$C$4,$V26-4,0)&amp;"")</f>
        <v>Minsur</v>
      </c>
      <c r="S26" s="181" t="str">
        <f t="shared" ca="1" si="3"/>
        <v>PE</v>
      </c>
      <c r="T26" s="181" t="str">
        <f ca="1">IF(B26="","",IF(ISERROR(MATCH($J26,SorP!$B$1:$B$6279,0)),"",INDIRECT("'SorP'!$A$"&amp;MATCH($S26&amp;$J26,SorP!C:C,0))))</f>
        <v>PE-ICA</v>
      </c>
      <c r="U26" s="201"/>
      <c r="V26" s="226">
        <f>IF(C26="",NA(),IF(OR(C26="Smelter not listed",C26="Smelter not yet identified"),MATCH($B26&amp;$D26,'Smelter Look-up'!$J:$J,0),MATCH($B26&amp;$C26,'Smelter Look-up'!$J:$J,0)))</f>
        <v>470</v>
      </c>
      <c r="X26" s="227">
        <f t="shared" si="4"/>
        <v>0</v>
      </c>
      <c r="AB26" s="228" t="str">
        <f t="shared" si="5"/>
        <v>TinMinsur</v>
      </c>
    </row>
    <row r="27" spans="1:28" s="227" customFormat="1" ht="25.5">
      <c r="A27" s="181"/>
      <c r="B27" s="182" t="s">
        <v>1126</v>
      </c>
      <c r="C27" s="186" t="s">
        <v>627</v>
      </c>
      <c r="D27" s="230"/>
      <c r="E27" s="182" t="s">
        <v>1101</v>
      </c>
      <c r="F27" s="182" t="s">
        <v>779</v>
      </c>
      <c r="G27" s="182" t="s">
        <v>13240</v>
      </c>
      <c r="H27" s="183">
        <v>0</v>
      </c>
      <c r="I27" s="184" t="s">
        <v>1767</v>
      </c>
      <c r="J27" s="184" t="s">
        <v>12852</v>
      </c>
      <c r="K27" s="224"/>
      <c r="L27" s="224"/>
      <c r="M27" s="224"/>
      <c r="N27" s="224"/>
      <c r="O27" s="224"/>
      <c r="P27" s="185"/>
      <c r="Q27" s="225"/>
      <c r="R27" s="182" t="str">
        <f ca="1">IF(ISERROR($V27),"",OFFSET('Smelter Look-up'!$C$4,$V27-4,0)&amp;"")</f>
        <v>PT Mitra Stania Prima</v>
      </c>
      <c r="S27" s="181" t="str">
        <f t="shared" ca="1" si="3"/>
        <v>ID</v>
      </c>
      <c r="T27" s="181" t="str">
        <f ca="1">IF(B27="","",IF(ISERROR(MATCH($J27,SorP!$B$1:$B$6279,0)),"",INDIRECT("'SorP'!$A$"&amp;MATCH($S27&amp;$J27,SorP!C:C,0))))</f>
        <v>ID-BB</v>
      </c>
      <c r="U27" s="201"/>
      <c r="V27" s="226">
        <f>IF(C27="",NA(),IF(OR(C27="Smelter not listed",C27="Smelter not yet identified"),MATCH($B27&amp;$D27,'Smelter Look-up'!$J:$J,0),MATCH($B27&amp;$C27,'Smelter Look-up'!$J:$J,0)))</f>
        <v>500</v>
      </c>
      <c r="X27" s="227">
        <f t="shared" si="4"/>
        <v>0</v>
      </c>
      <c r="AB27" s="228" t="str">
        <f t="shared" si="5"/>
        <v>TinPT Mitra Stania Prima</v>
      </c>
    </row>
    <row r="28" spans="1:28" s="227" customFormat="1" ht="25.5">
      <c r="A28" s="181"/>
      <c r="B28" s="182" t="s">
        <v>1126</v>
      </c>
      <c r="C28" s="186" t="s">
        <v>2157</v>
      </c>
      <c r="D28" s="230"/>
      <c r="E28" s="182" t="s">
        <v>1101</v>
      </c>
      <c r="F28" s="182" t="s">
        <v>780</v>
      </c>
      <c r="G28" s="182" t="s">
        <v>13240</v>
      </c>
      <c r="H28" s="183">
        <v>0</v>
      </c>
      <c r="I28" s="184" t="s">
        <v>1767</v>
      </c>
      <c r="J28" s="184" t="s">
        <v>12852</v>
      </c>
      <c r="K28" s="224"/>
      <c r="L28" s="224"/>
      <c r="M28" s="224"/>
      <c r="N28" s="224"/>
      <c r="O28" s="224"/>
      <c r="P28" s="185"/>
      <c r="Q28" s="225"/>
      <c r="R28" s="182" t="str">
        <f ca="1">IF(ISERROR($V28),"",OFFSET('Smelter Look-up'!$C$4,$V28-4,0)&amp;"")</f>
        <v>PT Refined Bangka Tin</v>
      </c>
      <c r="S28" s="181" t="str">
        <f t="shared" ca="1" si="3"/>
        <v>ID</v>
      </c>
      <c r="T28" s="181" t="str">
        <f ca="1">IF(B28="","",IF(ISERROR(MATCH($J28,SorP!$B$1:$B$6279,0)),"",INDIRECT("'SorP'!$A$"&amp;MATCH($S28&amp;$J28,SorP!C:C,0))))</f>
        <v>ID-BB</v>
      </c>
      <c r="U28" s="201"/>
      <c r="V28" s="226">
        <f>IF(C28="",NA(),IF(OR(C28="Smelter not listed",C28="Smelter not yet identified"),MATCH($B28&amp;$D28,'Smelter Look-up'!$J:$J,0),MATCH($B28&amp;$C28,'Smelter Look-up'!$J:$J,0)))</f>
        <v>507</v>
      </c>
      <c r="X28" s="227">
        <f t="shared" si="4"/>
        <v>0</v>
      </c>
      <c r="AB28" s="228" t="str">
        <f t="shared" si="5"/>
        <v>TinPT Refined Bangka Tin</v>
      </c>
    </row>
    <row r="29" spans="1:28" s="227" customFormat="1" ht="20.25">
      <c r="A29" s="181"/>
      <c r="B29" s="182" t="s">
        <v>1126</v>
      </c>
      <c r="C29" s="186" t="s">
        <v>13802</v>
      </c>
      <c r="D29" s="230"/>
      <c r="E29" s="182" t="s">
        <v>1101</v>
      </c>
      <c r="F29" s="182" t="s">
        <v>800</v>
      </c>
      <c r="G29" s="182" t="s">
        <v>13240</v>
      </c>
      <c r="H29" s="183">
        <v>0</v>
      </c>
      <c r="I29" s="184" t="s">
        <v>1792</v>
      </c>
      <c r="J29" s="184" t="s">
        <v>6065</v>
      </c>
      <c r="K29" s="224"/>
      <c r="L29" s="224"/>
      <c r="M29" s="224"/>
      <c r="N29" s="224"/>
      <c r="O29" s="224"/>
      <c r="P29" s="185"/>
      <c r="Q29" s="225"/>
      <c r="R29" s="182" t="str">
        <f ca="1">IF(ISERROR($V29),"",OFFSET('Smelter Look-up'!$C$4,$V29-4,0)&amp;"")</f>
        <v>PT Timah Tbk Kundur</v>
      </c>
      <c r="S29" s="181" t="str">
        <f t="shared" ca="1" si="3"/>
        <v>ID</v>
      </c>
      <c r="T29" s="181" t="str">
        <f ca="1">IF(B29="","",IF(ISERROR(MATCH($J29,SorP!$B$1:$B$6279,0)),"",INDIRECT("'SorP'!$A$"&amp;MATCH($S29&amp;$J29,SorP!C:C,0))))</f>
        <v>ID-RI</v>
      </c>
      <c r="U29" s="201"/>
      <c r="V29" s="226">
        <f>IF(C29="",NA(),IF(OR(C29="Smelter not listed",C29="Smelter not yet identified"),MATCH($B29&amp;$D29,'Smelter Look-up'!$J:$J,0),MATCH($B29&amp;$C29,'Smelter Look-up'!$J:$J,0)))</f>
        <v>513</v>
      </c>
      <c r="X29" s="227">
        <f t="shared" si="4"/>
        <v>0</v>
      </c>
      <c r="AB29" s="228" t="str">
        <f t="shared" si="5"/>
        <v>TinPT Timah Tbk Kundur</v>
      </c>
    </row>
    <row r="30" spans="1:28" s="227" customFormat="1" ht="20.25">
      <c r="A30" s="181"/>
      <c r="B30" s="182" t="s">
        <v>1126</v>
      </c>
      <c r="C30" s="186" t="s">
        <v>1797</v>
      </c>
      <c r="D30" s="230"/>
      <c r="E30" s="182" t="s">
        <v>884</v>
      </c>
      <c r="F30" s="182" t="s">
        <v>784</v>
      </c>
      <c r="G30" s="182" t="s">
        <v>13240</v>
      </c>
      <c r="H30" s="183">
        <v>0</v>
      </c>
      <c r="I30" s="184" t="s">
        <v>1795</v>
      </c>
      <c r="J30" s="184" t="s">
        <v>1796</v>
      </c>
      <c r="K30" s="224"/>
      <c r="L30" s="224"/>
      <c r="M30" s="224"/>
      <c r="N30" s="224"/>
      <c r="O30" s="224"/>
      <c r="P30" s="185"/>
      <c r="Q30" s="225"/>
      <c r="R30" s="182" t="str">
        <f ca="1">IF(ISERROR($V30),"",OFFSET('Smelter Look-up'!$C$4,$V30-4,0)&amp;"")</f>
        <v>Thaisarco</v>
      </c>
      <c r="S30" s="181" t="str">
        <f t="shared" ca="1" si="3"/>
        <v>TH</v>
      </c>
      <c r="T30" s="181" t="str">
        <f ca="1">IF(B30="","",IF(ISERROR(MATCH($J30,SorP!$B$1:$B$6279,0)),"",INDIRECT("'SorP'!$A$"&amp;MATCH($S30&amp;$J30,SorP!C:C,0))))</f>
        <v>TH-83</v>
      </c>
      <c r="U30" s="201"/>
      <c r="V30" s="226">
        <f>IF(C30="",NA(),IF(OR(C30="Smelter not listed",C30="Smelter not yet identified"),MATCH($B30&amp;$D30,'Smelter Look-up'!$J:$J,0),MATCH($B30&amp;$C30,'Smelter Look-up'!$J:$J,0)))</f>
        <v>525</v>
      </c>
      <c r="X30" s="227">
        <f t="shared" si="4"/>
        <v>0</v>
      </c>
      <c r="AB30" s="228" t="str">
        <f t="shared" si="5"/>
        <v>TinThailand Smelting &amp; Refining Co Ltd</v>
      </c>
    </row>
    <row r="31" spans="1:28" s="227" customFormat="1" ht="20.25">
      <c r="A31" s="181"/>
      <c r="B31" s="182" t="s">
        <v>1126</v>
      </c>
      <c r="C31" s="186" t="s">
        <v>1027</v>
      </c>
      <c r="D31" s="230"/>
      <c r="E31" s="182" t="s">
        <v>884</v>
      </c>
      <c r="F31" s="182" t="s">
        <v>784</v>
      </c>
      <c r="G31" s="182" t="s">
        <v>13240</v>
      </c>
      <c r="H31" s="183">
        <v>0</v>
      </c>
      <c r="I31" s="184" t="s">
        <v>1795</v>
      </c>
      <c r="J31" s="184" t="s">
        <v>1796</v>
      </c>
      <c r="K31" s="224"/>
      <c r="L31" s="224"/>
      <c r="M31" s="224"/>
      <c r="N31" s="224"/>
      <c r="O31" s="224"/>
      <c r="P31" s="185"/>
      <c r="Q31" s="225"/>
      <c r="R31" s="182" t="str">
        <f ca="1">IF(ISERROR($V31),"",OFFSET('Smelter Look-up'!$C$4,$V31-4,0)&amp;"")</f>
        <v>Thaisarco</v>
      </c>
      <c r="S31" s="181" t="str">
        <f t="shared" ca="1" si="3"/>
        <v>TH</v>
      </c>
      <c r="T31" s="181" t="str">
        <f ca="1">IF(B31="","",IF(ISERROR(MATCH($J31,SorP!$B$1:$B$6279,0)),"",INDIRECT("'SorP'!$A$"&amp;MATCH($S31&amp;$J31,SorP!C:C,0))))</f>
        <v>TH-83</v>
      </c>
      <c r="U31" s="201"/>
      <c r="V31" s="226">
        <f>IF(C31="",NA(),IF(OR(C31="Smelter not listed",C31="Smelter not yet identified"),MATCH($B31&amp;$D31,'Smelter Look-up'!$J:$J,0),MATCH($B31&amp;$C31,'Smelter Look-up'!$J:$J,0)))</f>
        <v>526</v>
      </c>
      <c r="X31" s="227">
        <f t="shared" si="4"/>
        <v>0</v>
      </c>
      <c r="AB31" s="228" t="str">
        <f t="shared" si="5"/>
        <v>TinThaisarco</v>
      </c>
    </row>
    <row r="32" spans="1:28" s="227" customFormat="1" ht="20.25">
      <c r="A32" s="181"/>
      <c r="B32" s="182" t="s">
        <v>1128</v>
      </c>
      <c r="C32" s="186" t="s">
        <v>1378</v>
      </c>
      <c r="D32" s="230"/>
      <c r="E32" s="182" t="s">
        <v>1096</v>
      </c>
      <c r="F32" s="182" t="s">
        <v>799</v>
      </c>
      <c r="G32" s="182" t="s">
        <v>13240</v>
      </c>
      <c r="H32" s="183">
        <v>0</v>
      </c>
      <c r="I32" s="184" t="s">
        <v>1832</v>
      </c>
      <c r="J32" s="184" t="s">
        <v>13618</v>
      </c>
      <c r="K32" s="224"/>
      <c r="L32" s="224"/>
      <c r="M32" s="224"/>
      <c r="N32" s="224"/>
      <c r="O32" s="224"/>
      <c r="P32" s="185"/>
      <c r="Q32" s="225"/>
      <c r="R32" s="182" t="str">
        <f ca="1">IF(ISERROR($V32),"",OFFSET('Smelter Look-up'!$C$4,$V32-4,0)&amp;"")</f>
        <v>Xiamen Tungsten Co., Ltd.</v>
      </c>
      <c r="S32" s="181" t="str">
        <f t="shared" ca="1" si="3"/>
        <v>CN</v>
      </c>
      <c r="T32" s="181" t="str">
        <f ca="1">IF(B32="","",IF(ISERROR(MATCH($J32,SorP!$B$1:$B$6279,0)),"",INDIRECT("'SorP'!$A$"&amp;MATCH($S32&amp;$J32,SorP!C:C,0))))</f>
        <v>CN-FJ</v>
      </c>
      <c r="U32" s="201"/>
      <c r="V32" s="226">
        <f>IF(C32="",NA(),IF(OR(C32="Smelter not listed",C32="Smelter not yet identified"),MATCH($B32&amp;$D32,'Smelter Look-up'!$J:$J,0),MATCH($B32&amp;$C32,'Smelter Look-up'!$J:$J,0)))</f>
        <v>636</v>
      </c>
      <c r="X32" s="227">
        <f t="shared" si="4"/>
        <v>0</v>
      </c>
      <c r="AB32" s="228" t="str">
        <f t="shared" si="5"/>
        <v>TungstenXiamen Tungsten Co., Ltd.</v>
      </c>
    </row>
    <row r="33" spans="1:28" s="227" customFormat="1" ht="20.25">
      <c r="A33" s="181"/>
      <c r="B33" s="182" t="s">
        <v>1128</v>
      </c>
      <c r="C33" s="186" t="s">
        <v>153</v>
      </c>
      <c r="D33" s="230"/>
      <c r="E33" s="182" t="s">
        <v>1096</v>
      </c>
      <c r="F33" s="182" t="s">
        <v>142</v>
      </c>
      <c r="G33" s="182" t="s">
        <v>13240</v>
      </c>
      <c r="H33" s="183">
        <v>0</v>
      </c>
      <c r="I33" s="184" t="s">
        <v>1773</v>
      </c>
      <c r="J33" s="184" t="s">
        <v>13619</v>
      </c>
      <c r="K33" s="224"/>
      <c r="L33" s="224"/>
      <c r="M33" s="224"/>
      <c r="N33" s="224"/>
      <c r="O33" s="224"/>
      <c r="P33" s="185"/>
      <c r="Q33" s="225"/>
      <c r="R33" s="182" t="str">
        <f ca="1">IF(ISERROR($V33),"",OFFSET('Smelter Look-up'!$C$4,$V33-4,0)&amp;"")</f>
        <v>Jiangxi Xinsheng Tungsten Industry Co., Ltd.</v>
      </c>
      <c r="S33" s="181" t="str">
        <f t="shared" ca="1" si="3"/>
        <v>CN</v>
      </c>
      <c r="T33" s="181" t="str">
        <f ca="1">IF(B33="","",IF(ISERROR(MATCH($J33,SorP!$B$1:$B$6279,0)),"",INDIRECT("'SorP'!$A$"&amp;MATCH($S33&amp;$J33,SorP!C:C,0))))</f>
        <v>CN-JX</v>
      </c>
      <c r="U33" s="201"/>
      <c r="V33" s="226">
        <f>IF(C33="",NA(),IF(OR(C33="Smelter not listed",C33="Smelter not yet identified"),MATCH($B33&amp;$D33,'Smelter Look-up'!$J:$J,0),MATCH($B33&amp;$C33,'Smelter Look-up'!$J:$J,0)))</f>
        <v>607</v>
      </c>
      <c r="X33" s="227">
        <f t="shared" si="4"/>
        <v>0</v>
      </c>
      <c r="AB33" s="228" t="str">
        <f t="shared" si="5"/>
        <v>TungstenJiangxi Xinsheng Tungsten Industry Co., Ltd.</v>
      </c>
    </row>
    <row r="34" spans="1:28" s="227" customFormat="1" ht="20.25">
      <c r="A34" s="181"/>
      <c r="B34" s="182" t="s">
        <v>1128</v>
      </c>
      <c r="C34" s="186" t="s">
        <v>149</v>
      </c>
      <c r="D34" s="230"/>
      <c r="E34" s="182" t="s">
        <v>1096</v>
      </c>
      <c r="F34" s="182" t="s">
        <v>796</v>
      </c>
      <c r="G34" s="182" t="s">
        <v>13240</v>
      </c>
      <c r="H34" s="183">
        <v>0</v>
      </c>
      <c r="I34" s="184" t="s">
        <v>1773</v>
      </c>
      <c r="J34" s="184" t="s">
        <v>13619</v>
      </c>
      <c r="K34" s="224"/>
      <c r="L34" s="224"/>
      <c r="M34" s="224"/>
      <c r="N34" s="224"/>
      <c r="O34" s="224"/>
      <c r="P34" s="185"/>
      <c r="Q34" s="225"/>
      <c r="R34" s="182" t="str">
        <f ca="1">IF(ISERROR($V34),"",OFFSET('Smelter Look-up'!$C$4,$V34-4,0)&amp;"")</f>
        <v>Ganzhou Huaxing Tungsten Products Co., Ltd.</v>
      </c>
      <c r="S34" s="181" t="str">
        <f t="shared" ca="1" si="3"/>
        <v>CN</v>
      </c>
      <c r="T34" s="181" t="str">
        <f ca="1">IF(B34="","",IF(ISERROR(MATCH($J34,SorP!$B$1:$B$6279,0)),"",INDIRECT("'SorP'!$A$"&amp;MATCH($S34&amp;$J34,SorP!C:C,0))))</f>
        <v>CN-JX</v>
      </c>
      <c r="U34" s="201"/>
      <c r="V34" s="226">
        <f>IF(C34="",NA(),IF(OR(C34="Smelter not listed",C34="Smelter not yet identified"),MATCH($B34&amp;$D34,'Smelter Look-up'!$J:$J,0),MATCH($B34&amp;$C34,'Smelter Look-up'!$J:$J,0)))</f>
        <v>581</v>
      </c>
      <c r="X34" s="227">
        <f t="shared" si="4"/>
        <v>0</v>
      </c>
      <c r="AB34" s="228" t="str">
        <f t="shared" si="5"/>
        <v>TungstenGanzhou Huaxing Tungsten Products Co., Ltd.</v>
      </c>
    </row>
    <row r="35" spans="1:28" s="227" customFormat="1" ht="20.25">
      <c r="A35" s="181"/>
      <c r="B35" s="182" t="s">
        <v>1128</v>
      </c>
      <c r="C35" s="186" t="s">
        <v>1374</v>
      </c>
      <c r="D35" s="230"/>
      <c r="E35" s="182" t="s">
        <v>1096</v>
      </c>
      <c r="F35" s="182" t="s">
        <v>791</v>
      </c>
      <c r="G35" s="182" t="s">
        <v>13240</v>
      </c>
      <c r="H35" s="183">
        <v>0</v>
      </c>
      <c r="I35" s="184" t="s">
        <v>1773</v>
      </c>
      <c r="J35" s="184" t="s">
        <v>13619</v>
      </c>
      <c r="K35" s="224"/>
      <c r="L35" s="224"/>
      <c r="M35" s="224"/>
      <c r="N35" s="224"/>
      <c r="O35" s="224"/>
      <c r="P35" s="185"/>
      <c r="Q35" s="225"/>
      <c r="R35" s="182" t="str">
        <f ca="1">IF(ISERROR($V35),"",OFFSET('Smelter Look-up'!$C$4,$V35-4,0)&amp;"")</f>
        <v>Chongyi Zhangyuan Tungsten Co., Ltd.</v>
      </c>
      <c r="S35" s="181" t="str">
        <f t="shared" ca="1" si="3"/>
        <v>CN</v>
      </c>
      <c r="T35" s="181" t="str">
        <f ca="1">IF(B35="","",IF(ISERROR(MATCH($J35,SorP!$B$1:$B$6279,0)),"",INDIRECT("'SorP'!$A$"&amp;MATCH($S35&amp;$J35,SorP!C:C,0))))</f>
        <v>CN-JX</v>
      </c>
      <c r="U35" s="201"/>
      <c r="V35" s="226">
        <f>IF(C35="",NA(),IF(OR(C35="Smelter not listed",C35="Smelter not yet identified"),MATCH($B35&amp;$D35,'Smelter Look-up'!$J:$J,0),MATCH($B35&amp;$C35,'Smelter Look-up'!$J:$J,0)))</f>
        <v>573</v>
      </c>
      <c r="X35" s="227">
        <f t="shared" si="4"/>
        <v>0</v>
      </c>
      <c r="AB35" s="228" t="str">
        <f t="shared" si="5"/>
        <v>TungstenChongyi Zhangyuan Tungsten Co., Ltd.</v>
      </c>
    </row>
    <row r="36" spans="1:28" s="227" customFormat="1" ht="20.25">
      <c r="A36" s="181"/>
      <c r="B36" s="182" t="s">
        <v>1128</v>
      </c>
      <c r="C36" s="186" t="s">
        <v>392</v>
      </c>
      <c r="D36" s="230"/>
      <c r="E36" s="182" t="s">
        <v>1096</v>
      </c>
      <c r="F36" s="182" t="s">
        <v>393</v>
      </c>
      <c r="G36" s="182" t="s">
        <v>13240</v>
      </c>
      <c r="H36" s="183">
        <v>0</v>
      </c>
      <c r="I36" s="184" t="s">
        <v>1773</v>
      </c>
      <c r="J36" s="184" t="s">
        <v>13619</v>
      </c>
      <c r="K36" s="224"/>
      <c r="L36" s="224"/>
      <c r="M36" s="224"/>
      <c r="N36" s="224"/>
      <c r="O36" s="224"/>
      <c r="P36" s="185"/>
      <c r="Q36" s="225"/>
      <c r="R36" s="182" t="str">
        <f ca="1">IF(ISERROR($V36),"",OFFSET('Smelter Look-up'!$C$4,$V36-4,0)&amp;"")</f>
        <v>Ganzhou Seadragon W &amp; Mo Co., Ltd.</v>
      </c>
      <c r="S36" s="181" t="str">
        <f t="shared" ca="1" si="3"/>
        <v>CN</v>
      </c>
      <c r="T36" s="181" t="str">
        <f ca="1">IF(B36="","",IF(ISERROR(MATCH($J36,SorP!$B$1:$B$6279,0)),"",INDIRECT("'SorP'!$A$"&amp;MATCH($S36&amp;$J36,SorP!C:C,0))))</f>
        <v>CN-JX</v>
      </c>
      <c r="U36" s="201"/>
      <c r="V36" s="226">
        <f>IF(C36="",NA(),IF(OR(C36="Smelter not listed",C36="Smelter not yet identified"),MATCH($B36&amp;$D36,'Smelter Look-up'!$J:$J,0),MATCH($B36&amp;$C36,'Smelter Look-up'!$J:$J,0)))</f>
        <v>583</v>
      </c>
      <c r="X36" s="227">
        <f t="shared" si="4"/>
        <v>0</v>
      </c>
      <c r="AB36" s="228" t="str">
        <f t="shared" si="5"/>
        <v>TungstenGanzhou Seadragon W &amp; Mo Co., Ltd.</v>
      </c>
    </row>
    <row r="37" spans="1:28" s="227" customFormat="1" ht="20.25">
      <c r="A37" s="181"/>
      <c r="B37" s="182" t="s">
        <v>1127</v>
      </c>
      <c r="C37" s="186" t="s">
        <v>45</v>
      </c>
      <c r="D37" s="230"/>
      <c r="E37" s="182" t="s">
        <v>1096</v>
      </c>
      <c r="F37" s="182" t="s">
        <v>746</v>
      </c>
      <c r="G37" s="182" t="s">
        <v>13240</v>
      </c>
      <c r="H37" s="183">
        <v>0</v>
      </c>
      <c r="I37" s="184" t="s">
        <v>1717</v>
      </c>
      <c r="J37" s="184" t="s">
        <v>13624</v>
      </c>
      <c r="K37" s="224"/>
      <c r="L37" s="224"/>
      <c r="M37" s="224"/>
      <c r="N37" s="224"/>
      <c r="O37" s="224"/>
      <c r="P37" s="185"/>
      <c r="Q37" s="225"/>
      <c r="R37" s="182" t="str">
        <f ca="1">IF(ISERROR($V37),"",OFFSET('Smelter Look-up'!$C$4,$V37-4,0)&amp;"")</f>
        <v>F&amp;X Electro-Materials Ltd.</v>
      </c>
      <c r="S37" s="181" t="str">
        <f t="shared" ca="1" si="3"/>
        <v>CN</v>
      </c>
      <c r="T37" s="181" t="str">
        <f ca="1">IF(B37="","",IF(ISERROR(MATCH($J37,SorP!$B$1:$B$6279,0)),"",INDIRECT("'SorP'!$A$"&amp;MATCH($S37&amp;$J37,SorP!C:C,0))))</f>
        <v>CN-GD</v>
      </c>
      <c r="U37" s="201"/>
      <c r="V37" s="226">
        <f>IF(C37="",NA(),IF(OR(C37="Smelter not listed",C37="Smelter not yet identified"),MATCH($B37&amp;$D37,'Smelter Look-up'!$J:$J,0),MATCH($B37&amp;$C37,'Smelter Look-up'!$J:$J,0)))</f>
        <v>328</v>
      </c>
      <c r="X37" s="227">
        <f t="shared" si="4"/>
        <v>0</v>
      </c>
      <c r="AB37" s="228" t="str">
        <f t="shared" si="5"/>
        <v>TantalumF&amp;X Electro-Materials Ltd.</v>
      </c>
    </row>
    <row r="38" spans="1:28" s="227" customFormat="1" ht="20.25">
      <c r="A38" s="181"/>
      <c r="B38" s="182"/>
      <c r="C38" s="186"/>
      <c r="D38" s="230"/>
      <c r="E38" s="182"/>
      <c r="F38" s="182"/>
      <c r="G38" s="182"/>
      <c r="H38" s="183"/>
      <c r="I38" s="184"/>
      <c r="J38" s="184"/>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si="7">IF(AND(C38="Smelter not listed",OR(LEN(D38)=0,LEN(E38)=0)),1,0)</f>
        <v>0</v>
      </c>
      <c r="AB38" s="228" t="str">
        <f t="shared" ref="AB38:AB68" si="8">B38&amp;C38</f>
        <v/>
      </c>
    </row>
    <row r="39" spans="1:28" s="227" customFormat="1" ht="20.25">
      <c r="A39" s="181"/>
      <c r="B39" s="182" t="s">
        <v>15832</v>
      </c>
      <c r="C39" s="186" t="s">
        <v>15832</v>
      </c>
      <c r="D39" s="230"/>
      <c r="E39" s="182" t="s">
        <v>15832</v>
      </c>
      <c r="F39" s="182" t="s">
        <v>15832</v>
      </c>
      <c r="G39" s="182" t="s">
        <v>15832</v>
      </c>
      <c r="H39" s="183" t="s">
        <v>15832</v>
      </c>
      <c r="I39" s="184" t="s">
        <v>15832</v>
      </c>
      <c r="J39" s="184" t="s">
        <v>15832</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si="7"/>
        <v>0</v>
      </c>
      <c r="AB39" s="228" t="str">
        <f t="shared" si="8"/>
        <v/>
      </c>
    </row>
    <row r="40" spans="1:28" s="227" customFormat="1" ht="20.25">
      <c r="A40" s="181"/>
      <c r="B40" s="182" t="s">
        <v>15832</v>
      </c>
      <c r="C40" s="186" t="s">
        <v>15832</v>
      </c>
      <c r="D40" s="230"/>
      <c r="E40" s="182" t="s">
        <v>15832</v>
      </c>
      <c r="F40" s="182" t="s">
        <v>15832</v>
      </c>
      <c r="G40" s="182" t="s">
        <v>15832</v>
      </c>
      <c r="H40" s="183" t="s">
        <v>15832</v>
      </c>
      <c r="I40" s="184" t="s">
        <v>15832</v>
      </c>
      <c r="J40" s="184" t="s">
        <v>15832</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si="7"/>
        <v>0</v>
      </c>
      <c r="AB40" s="228" t="str">
        <f t="shared" si="8"/>
        <v/>
      </c>
    </row>
    <row r="41" spans="1:28" s="227" customFormat="1" ht="20.25">
      <c r="A41" s="181"/>
      <c r="B41" s="182" t="s">
        <v>15832</v>
      </c>
      <c r="C41" s="186" t="s">
        <v>15832</v>
      </c>
      <c r="D41" s="230"/>
      <c r="E41" s="182" t="s">
        <v>15832</v>
      </c>
      <c r="F41" s="182" t="s">
        <v>15832</v>
      </c>
      <c r="G41" s="182" t="s">
        <v>15832</v>
      </c>
      <c r="H41" s="183" t="s">
        <v>15832</v>
      </c>
      <c r="I41" s="184" t="s">
        <v>15832</v>
      </c>
      <c r="J41" s="184" t="s">
        <v>15832</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si="7"/>
        <v>0</v>
      </c>
      <c r="AB41" s="228" t="str">
        <f t="shared" si="8"/>
        <v/>
      </c>
    </row>
    <row r="42" spans="1:28" s="227" customFormat="1" ht="20.25">
      <c r="A42" s="181"/>
      <c r="B42" s="182" t="s">
        <v>15832</v>
      </c>
      <c r="C42" s="186" t="s">
        <v>15832</v>
      </c>
      <c r="D42" s="230"/>
      <c r="E42" s="182" t="s">
        <v>15832</v>
      </c>
      <c r="F42" s="182" t="s">
        <v>15832</v>
      </c>
      <c r="G42" s="182" t="s">
        <v>15832</v>
      </c>
      <c r="H42" s="183" t="s">
        <v>15832</v>
      </c>
      <c r="I42" s="184" t="s">
        <v>15832</v>
      </c>
      <c r="J42" s="184" t="s">
        <v>15832</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36DF0012-3510-4FC7-8160-B012C866EF97}"/>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ABRACON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Leo Santillan</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leonel.santillan@abracon.com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512-371-6159</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Reuben Quintanilla</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reuben.quintanilla@abracon.com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45078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http://www.abracon.com/Support/ABRACON%20Letter%20of%20Non-use%20of%20Conflict%20Minerals.pdf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Leonel</cp:lastModifiedBy>
  <cp:lastPrinted>2015-04-21T20:47:43Z</cp:lastPrinted>
  <dcterms:created xsi:type="dcterms:W3CDTF">2010-06-21T21:00:23Z</dcterms:created>
  <dcterms:modified xsi:type="dcterms:W3CDTF">2023-06-01T17:28:14Z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